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H:\MyDocs ON H\Order Guides\"/>
    </mc:Choice>
  </mc:AlternateContent>
  <bookViews>
    <workbookView xWindow="120" yWindow="72" windowWidth="18972" windowHeight="11760" firstSheet="1" activeTab="1"/>
  </bookViews>
  <sheets>
    <sheet name="Getting Started" sheetId="8" state="hidden" r:id="rId1"/>
    <sheet name="Classic Maple" sheetId="4" r:id="rId2"/>
    <sheet name="Metal Snares" sheetId="7" state="hidden" r:id="rId3"/>
    <sheet name="Legacy" sheetId="6" r:id="rId4"/>
    <sheet name="Gallery" sheetId="9" r:id="rId5"/>
  </sheets>
  <definedNames>
    <definedName name="_xlnm._FilterDatabase" localSheetId="1" hidden="1">'Classic Maple'!$B$108:$C$166</definedName>
    <definedName name="_xlnm._FilterDatabase" localSheetId="3" hidden="1">Legacy!$B$104:$C$162</definedName>
    <definedName name="_xlnm._FilterDatabase" localSheetId="2" hidden="1">'Metal Snares'!$BF$9:$BL$96</definedName>
    <definedName name="_xlnm.Print_Area" localSheetId="1">'Classic Maple'!$ED$2:$EH$50</definedName>
    <definedName name="_xlnm.Print_Area" localSheetId="0">'Getting Started'!$A$1:$A$33</definedName>
    <definedName name="_xlnm.Print_Area" localSheetId="3">Legacy!$EG$2:$EK$51</definedName>
    <definedName name="_xlnm.Print_Area" localSheetId="2">'Metal Snares'!$B$1:$H$36</definedName>
  </definedNames>
  <calcPr calcId="152511"/>
</workbook>
</file>

<file path=xl/calcChain.xml><?xml version="1.0" encoding="utf-8"?>
<calcChain xmlns="http://schemas.openxmlformats.org/spreadsheetml/2006/main">
  <c r="AM69" i="4" l="1"/>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U35" i="6" l="1"/>
  <c r="EK13" i="6"/>
  <c r="EK24" i="6"/>
  <c r="BI73" i="6"/>
  <c r="BD74" i="6"/>
  <c r="EH34" i="4"/>
  <c r="EH13" i="4"/>
  <c r="BE73" i="4"/>
  <c r="AU76" i="6" l="1"/>
  <c r="AU75" i="6"/>
  <c r="AR73" i="4"/>
  <c r="AR72" i="4"/>
  <c r="AX76" i="6" l="1"/>
  <c r="CK34" i="6"/>
  <c r="AX75" i="6"/>
  <c r="CK33" i="6"/>
  <c r="AT72" i="4"/>
  <c r="CG33" i="4"/>
  <c r="AT73" i="4"/>
  <c r="CG34" i="4"/>
  <c r="BS58" i="6"/>
  <c r="BS57" i="6"/>
  <c r="BS56" i="6"/>
  <c r="BS54" i="6"/>
  <c r="BS53" i="6"/>
  <c r="BS52" i="6"/>
  <c r="BS51" i="6"/>
  <c r="BS50" i="6"/>
  <c r="BS49" i="6"/>
  <c r="BS35" i="6"/>
  <c r="BR58" i="6"/>
  <c r="BR57" i="6"/>
  <c r="BR56" i="6"/>
  <c r="BR54" i="6"/>
  <c r="BR53" i="6"/>
  <c r="BR52" i="6"/>
  <c r="BR51" i="6"/>
  <c r="BR50" i="6"/>
  <c r="BR49" i="6"/>
  <c r="BR35" i="6"/>
  <c r="BH12" i="6" l="1"/>
  <c r="BD12" i="4"/>
  <c r="CN76" i="6" l="1"/>
  <c r="CJ73" i="4"/>
  <c r="AT65" i="6"/>
  <c r="AT64" i="6"/>
  <c r="AT63" i="6"/>
  <c r="AT62" i="6"/>
  <c r="AT61" i="6"/>
  <c r="AT59" i="6"/>
  <c r="AT57" i="6"/>
  <c r="AT56" i="6"/>
  <c r="AT55" i="6"/>
  <c r="AT54" i="6"/>
  <c r="AT53" i="6"/>
  <c r="AT52" i="6"/>
  <c r="AT51" i="6"/>
  <c r="AT50" i="6"/>
  <c r="AT49" i="6"/>
  <c r="AT48" i="6"/>
  <c r="AT47" i="6"/>
  <c r="AT46" i="6"/>
  <c r="AT45" i="6"/>
  <c r="AT44" i="6"/>
  <c r="AT43" i="6"/>
  <c r="AT42" i="6"/>
  <c r="AT41" i="6"/>
  <c r="AT40" i="6"/>
  <c r="AT39" i="6"/>
  <c r="AT38" i="6"/>
  <c r="AT37" i="6"/>
  <c r="AT36" i="6"/>
  <c r="AT35" i="6"/>
  <c r="AT34" i="6"/>
  <c r="AT32" i="6"/>
  <c r="AT31" i="6"/>
  <c r="AT30" i="6"/>
  <c r="AT29" i="6"/>
  <c r="AT28" i="6"/>
  <c r="AT27" i="6"/>
  <c r="AT26" i="6"/>
  <c r="AT25" i="6"/>
  <c r="AT24" i="6"/>
  <c r="AT23" i="6"/>
  <c r="AT22" i="6"/>
  <c r="AT21" i="6"/>
  <c r="AT20" i="6"/>
  <c r="AT19" i="6"/>
  <c r="AT18" i="6"/>
  <c r="AT17" i="6"/>
  <c r="AT16" i="6"/>
  <c r="AT15" i="6"/>
  <c r="AT14" i="6"/>
  <c r="AT13" i="6"/>
  <c r="AT12" i="6"/>
  <c r="AT11" i="6"/>
  <c r="AT10" i="6"/>
  <c r="AT9" i="6"/>
  <c r="AT8" i="6"/>
  <c r="AT7" i="6"/>
  <c r="AT6" i="6"/>
  <c r="AT5" i="6"/>
  <c r="AT4" i="6"/>
  <c r="AT3" i="6"/>
  <c r="BD16" i="4" l="1"/>
  <c r="BD15" i="4"/>
  <c r="BH17" i="6"/>
  <c r="BH16" i="6"/>
  <c r="N55" i="4" l="1"/>
  <c r="EH24" i="4"/>
  <c r="CX60" i="4"/>
  <c r="CG88" i="4"/>
  <c r="CX45" i="4"/>
  <c r="CX53" i="4"/>
  <c r="CX37" i="4"/>
  <c r="CX57" i="4"/>
  <c r="CX41" i="4"/>
  <c r="CX35" i="4"/>
  <c r="CX49" i="4"/>
  <c r="EH20" i="4"/>
  <c r="CX38" i="4"/>
  <c r="CX42" i="4"/>
  <c r="CX46" i="4"/>
  <c r="CX50" i="4"/>
  <c r="CX54" i="4"/>
  <c r="CX58" i="4"/>
  <c r="CX39" i="4"/>
  <c r="CX43" i="4"/>
  <c r="CX47" i="4"/>
  <c r="CX51" i="4"/>
  <c r="CX55" i="4"/>
  <c r="CX59" i="4"/>
  <c r="CX36" i="4"/>
  <c r="CX40" i="4"/>
  <c r="CX44" i="4"/>
  <c r="CX48" i="4"/>
  <c r="CX52" i="4"/>
  <c r="CX56" i="4"/>
  <c r="BD17" i="4"/>
  <c r="BH18" i="6"/>
  <c r="AU74" i="6" l="1"/>
  <c r="AU73" i="6"/>
  <c r="AU72" i="6"/>
  <c r="CK71" i="6" s="1"/>
  <c r="AU71" i="6"/>
  <c r="AU70" i="6"/>
  <c r="BD28" i="6"/>
  <c r="BF28" i="6" s="1"/>
  <c r="AP20" i="6"/>
  <c r="AO20" i="6"/>
  <c r="DA20" i="6" s="1"/>
  <c r="AP15" i="6"/>
  <c r="AO15" i="6"/>
  <c r="DA15" i="6" s="1"/>
  <c r="AP10" i="6"/>
  <c r="AO10" i="6"/>
  <c r="DA10" i="6" s="1"/>
  <c r="AP6" i="6"/>
  <c r="AO6" i="6"/>
  <c r="AX73" i="6" l="1"/>
  <c r="CK31" i="6"/>
  <c r="AX71" i="6"/>
  <c r="CK29" i="6"/>
  <c r="AX70" i="6"/>
  <c r="CK28" i="6"/>
  <c r="AX72" i="6"/>
  <c r="AX74" i="6"/>
  <c r="CK32" i="6"/>
  <c r="DA6" i="6"/>
  <c r="CW59" i="6"/>
  <c r="CW58" i="6"/>
  <c r="CW61" i="6"/>
  <c r="CW60" i="6"/>
  <c r="AQ20" i="6"/>
  <c r="AQ15" i="6"/>
  <c r="AQ10" i="6"/>
  <c r="AJ10" i="6" s="1"/>
  <c r="AQ6" i="6"/>
  <c r="BA28" i="4"/>
  <c r="AZ28" i="4"/>
  <c r="AJ20" i="6" l="1"/>
  <c r="AJ15" i="6"/>
  <c r="AJ6" i="6"/>
  <c r="BB28" i="4"/>
  <c r="AR71" i="4" l="1"/>
  <c r="AR70" i="4"/>
  <c r="AR69" i="4"/>
  <c r="AR68" i="4"/>
  <c r="AR67" i="4"/>
  <c r="AT70" i="4" l="1"/>
  <c r="CG31" i="4"/>
  <c r="AT68" i="4"/>
  <c r="CG29" i="4"/>
  <c r="AT67" i="4"/>
  <c r="CG28" i="4"/>
  <c r="AT71" i="4"/>
  <c r="CG32" i="4"/>
  <c r="AT69" i="4"/>
  <c r="AR56" i="4"/>
  <c r="AR55" i="4"/>
  <c r="AR54" i="4"/>
  <c r="AR53" i="4"/>
  <c r="AR52" i="4"/>
  <c r="AR51" i="4"/>
  <c r="AR50" i="4"/>
  <c r="AR49" i="4"/>
  <c r="AR48" i="4"/>
  <c r="AR47" i="4"/>
  <c r="AR46" i="4"/>
  <c r="AR45" i="4"/>
  <c r="AR44" i="4"/>
  <c r="AR43" i="4"/>
  <c r="BN43" i="4" s="1"/>
  <c r="AR42" i="4"/>
  <c r="BN42" i="4" s="1"/>
  <c r="AR41" i="4"/>
  <c r="BO41" i="4" s="1"/>
  <c r="AR40" i="4"/>
  <c r="AR39" i="4"/>
  <c r="BN39" i="4" s="1"/>
  <c r="AR38" i="4"/>
  <c r="AR37" i="4"/>
  <c r="BO37" i="4" s="1"/>
  <c r="AR36" i="4"/>
  <c r="BN36" i="4" s="1"/>
  <c r="AR35" i="4"/>
  <c r="BO35" i="4" s="1"/>
  <c r="AR34" i="4"/>
  <c r="BO34" i="4" s="1"/>
  <c r="AR33" i="4"/>
  <c r="AR32" i="4"/>
  <c r="CG67" i="4" s="1"/>
  <c r="AR31" i="4"/>
  <c r="CG66" i="4" s="1"/>
  <c r="AR30" i="4"/>
  <c r="AR29" i="4"/>
  <c r="BO29" i="4" s="1"/>
  <c r="AR28" i="4"/>
  <c r="BO28" i="4" s="1"/>
  <c r="AR27" i="4"/>
  <c r="CG62" i="4" s="1"/>
  <c r="AR26" i="4"/>
  <c r="BO26" i="4" s="1"/>
  <c r="AR25" i="4"/>
  <c r="BO25" i="4" s="1"/>
  <c r="AR24" i="4"/>
  <c r="CG59" i="4" s="1"/>
  <c r="AR23" i="4"/>
  <c r="CG58" i="4" s="1"/>
  <c r="AR22" i="4"/>
  <c r="BO22" i="4" s="1"/>
  <c r="AR21" i="4"/>
  <c r="AR20" i="4"/>
  <c r="CG55" i="4" s="1"/>
  <c r="AR19" i="4"/>
  <c r="BO19" i="4" s="1"/>
  <c r="AR18" i="4"/>
  <c r="BO18" i="4" s="1"/>
  <c r="AR17" i="4"/>
  <c r="BO17" i="4" s="1"/>
  <c r="AR16" i="4"/>
  <c r="BO16" i="4" s="1"/>
  <c r="AR15" i="4"/>
  <c r="AR14" i="4"/>
  <c r="BO14" i="4" s="1"/>
  <c r="AR13" i="4"/>
  <c r="BO13" i="4" s="1"/>
  <c r="AR12" i="4"/>
  <c r="CG47" i="4" s="1"/>
  <c r="AR11" i="4"/>
  <c r="BO11" i="4" s="1"/>
  <c r="AR10" i="4"/>
  <c r="BO10" i="4" s="1"/>
  <c r="AR9" i="4"/>
  <c r="BO9" i="4" s="1"/>
  <c r="AR8" i="4"/>
  <c r="CG78" i="4" s="1"/>
  <c r="AR7" i="4"/>
  <c r="AR6" i="4"/>
  <c r="BO6" i="4" s="1"/>
  <c r="AR5" i="4"/>
  <c r="BO5" i="4" s="1"/>
  <c r="AR4" i="4"/>
  <c r="AW40" i="4"/>
  <c r="AW39" i="4"/>
  <c r="AW38" i="4"/>
  <c r="AW37" i="4"/>
  <c r="AW36" i="4"/>
  <c r="AW35" i="4"/>
  <c r="AR3" i="4"/>
  <c r="CG5" i="4" s="1"/>
  <c r="BO15" i="4" l="1"/>
  <c r="CG42" i="4"/>
  <c r="CG7" i="4"/>
  <c r="BO30" i="4"/>
  <c r="CG6" i="4"/>
  <c r="CG39" i="4"/>
  <c r="BO21" i="4"/>
  <c r="BO8" i="4"/>
  <c r="BO54" i="4"/>
  <c r="BN54" i="4"/>
  <c r="BO51" i="4"/>
  <c r="BN51" i="4"/>
  <c r="BO55" i="4"/>
  <c r="BN55" i="4"/>
  <c r="BO44" i="4"/>
  <c r="BN44" i="4"/>
  <c r="BO52" i="4"/>
  <c r="BN52" i="4"/>
  <c r="BO56" i="4"/>
  <c r="BN56" i="4"/>
  <c r="BO45" i="4"/>
  <c r="BN45" i="4"/>
  <c r="BO53" i="4"/>
  <c r="BN53" i="4"/>
  <c r="BO46" i="4"/>
  <c r="BN46" i="4"/>
  <c r="BN47" i="4"/>
  <c r="BO47" i="4"/>
  <c r="BO48" i="4"/>
  <c r="BN48" i="4"/>
  <c r="BN50" i="4"/>
  <c r="BO50" i="4"/>
  <c r="BN49" i="4"/>
  <c r="BO49" i="4"/>
  <c r="BO7" i="4"/>
  <c r="BO12" i="4"/>
  <c r="CG61" i="4"/>
  <c r="CP34" i="4"/>
  <c r="CP35" i="4"/>
  <c r="BN23" i="4"/>
  <c r="CP32" i="4"/>
  <c r="CP36" i="4"/>
  <c r="BN31" i="4"/>
  <c r="CG63" i="4"/>
  <c r="BN28" i="4"/>
  <c r="CG60" i="4"/>
  <c r="BO20" i="4"/>
  <c r="CG45" i="4"/>
  <c r="BN24" i="4"/>
  <c r="CG56" i="4"/>
  <c r="CG53" i="4"/>
  <c r="CG46" i="4"/>
  <c r="CG54" i="4"/>
  <c r="CG41" i="4"/>
  <c r="CG40" i="4"/>
  <c r="CG57" i="4"/>
  <c r="BN32" i="4"/>
  <c r="CG50" i="4"/>
  <c r="CG49" i="4"/>
  <c r="BN38" i="4"/>
  <c r="CG43" i="4"/>
  <c r="CG44" i="4"/>
  <c r="CG52" i="4"/>
  <c r="CG69" i="4"/>
  <c r="CG65" i="4"/>
  <c r="BN33" i="4"/>
  <c r="CG68" i="4"/>
  <c r="CG64" i="4"/>
  <c r="BN27" i="4"/>
  <c r="BN40" i="4"/>
  <c r="BO4" i="4"/>
  <c r="CG51" i="4"/>
  <c r="CP31" i="4"/>
  <c r="CP33" i="4"/>
  <c r="CG48" i="4"/>
  <c r="BO23" i="4"/>
  <c r="BO39" i="4"/>
  <c r="BO24" i="4"/>
  <c r="BO40" i="4"/>
  <c r="BO31" i="4"/>
  <c r="BO32" i="4"/>
  <c r="BO27" i="4"/>
  <c r="BO36" i="4"/>
  <c r="BO42" i="4"/>
  <c r="BO38" i="4"/>
  <c r="BO43" i="4"/>
  <c r="BN37" i="4"/>
  <c r="BN41" i="4"/>
  <c r="BN21" i="4"/>
  <c r="BN25" i="4"/>
  <c r="BN29" i="4"/>
  <c r="BN34" i="4"/>
  <c r="BN22" i="4"/>
  <c r="BN26" i="4"/>
  <c r="BN30" i="4"/>
  <c r="BO33" i="4"/>
  <c r="BN35" i="4"/>
  <c r="CG73" i="4" l="1"/>
  <c r="AL40" i="4"/>
  <c r="AM39" i="4"/>
  <c r="AM35" i="4"/>
  <c r="AL35" i="4"/>
  <c r="AM24" i="4"/>
  <c r="AL24" i="4"/>
  <c r="CS71" i="4" s="1"/>
  <c r="AM23" i="4"/>
  <c r="AL23" i="4"/>
  <c r="AM20" i="4"/>
  <c r="AL20" i="4"/>
  <c r="AM15" i="4"/>
  <c r="AL15" i="4"/>
  <c r="AM10" i="4"/>
  <c r="AL10" i="4"/>
  <c r="AM6" i="4"/>
  <c r="AL6" i="4"/>
  <c r="CJ17" i="4" l="1"/>
  <c r="CJ25" i="4"/>
  <c r="CW23" i="4"/>
  <c r="CY23" i="4" s="1"/>
  <c r="CS70" i="4"/>
  <c r="CW35" i="4"/>
  <c r="CY35" i="4" s="1"/>
  <c r="CW40" i="4"/>
  <c r="CY40" i="4" s="1"/>
  <c r="CW24" i="4"/>
  <c r="CY24" i="4" s="1"/>
  <c r="CW20" i="4"/>
  <c r="CY20" i="4" s="1"/>
  <c r="CS61" i="4"/>
  <c r="CW15" i="4"/>
  <c r="CY15" i="4" s="1"/>
  <c r="CS60" i="4"/>
  <c r="CW10" i="4"/>
  <c r="CY10" i="4" s="1"/>
  <c r="CS59" i="4"/>
  <c r="CW6" i="4"/>
  <c r="CY6" i="4" s="1"/>
  <c r="CS58" i="4"/>
  <c r="AN40" i="4"/>
  <c r="AG40" i="4" s="1"/>
  <c r="AN15" i="4"/>
  <c r="AG15" i="4" s="1"/>
  <c r="AN23" i="4"/>
  <c r="AG23" i="4" s="1"/>
  <c r="AN35" i="4"/>
  <c r="AN20" i="4"/>
  <c r="AN24" i="4"/>
  <c r="AN6" i="4"/>
  <c r="AG6" i="4" s="1"/>
  <c r="AN10" i="4"/>
  <c r="AW18" i="4"/>
  <c r="BJ48" i="4"/>
  <c r="BK48" i="4" s="1"/>
  <c r="AP3" i="6"/>
  <c r="AO3" i="6"/>
  <c r="AG70" i="4"/>
  <c r="AM3" i="4"/>
  <c r="AL3" i="4"/>
  <c r="BA40" i="6"/>
  <c r="BA39" i="6"/>
  <c r="BA38" i="6"/>
  <c r="AU62" i="6"/>
  <c r="AU69" i="6"/>
  <c r="CK27" i="6" s="1"/>
  <c r="AU68" i="6"/>
  <c r="AU67" i="6"/>
  <c r="CK25" i="6" s="1"/>
  <c r="AU66" i="6"/>
  <c r="CK24" i="6" s="1"/>
  <c r="AU65" i="6"/>
  <c r="CK23" i="6" s="1"/>
  <c r="AU64" i="6"/>
  <c r="CK22" i="6" s="1"/>
  <c r="AR66" i="4"/>
  <c r="BL16" i="6"/>
  <c r="BM16" i="6" s="1"/>
  <c r="BH16" i="4"/>
  <c r="BI16" i="4" s="1"/>
  <c r="AU3" i="6"/>
  <c r="AU4" i="6"/>
  <c r="AU5" i="6"/>
  <c r="AU6" i="6"/>
  <c r="AU7" i="6"/>
  <c r="AU8" i="6"/>
  <c r="AU9" i="6"/>
  <c r="AU10" i="6"/>
  <c r="AU11" i="6"/>
  <c r="AU12" i="6"/>
  <c r="AU13" i="6"/>
  <c r="AU14" i="6"/>
  <c r="AU15" i="6"/>
  <c r="AU16" i="6"/>
  <c r="AU17" i="6"/>
  <c r="AU18" i="6"/>
  <c r="AU19" i="6"/>
  <c r="AU20" i="6"/>
  <c r="AU21" i="6"/>
  <c r="AU22" i="6"/>
  <c r="AU23" i="6"/>
  <c r="AU24" i="6"/>
  <c r="AU25" i="6"/>
  <c r="AU26" i="6"/>
  <c r="AU27" i="6"/>
  <c r="AU28" i="6"/>
  <c r="AU29" i="6"/>
  <c r="AU30" i="6"/>
  <c r="AU31" i="6"/>
  <c r="AU32" i="6"/>
  <c r="AU33" i="6"/>
  <c r="AU34" i="6"/>
  <c r="AU36" i="6"/>
  <c r="AU37" i="6"/>
  <c r="AU38" i="6"/>
  <c r="AU39" i="6"/>
  <c r="AU40" i="6"/>
  <c r="AU41" i="6"/>
  <c r="AU42" i="6"/>
  <c r="AU43" i="6"/>
  <c r="AU44" i="6"/>
  <c r="AU45" i="6"/>
  <c r="AU46" i="6"/>
  <c r="AU47" i="6"/>
  <c r="AU48" i="6"/>
  <c r="AU63" i="6"/>
  <c r="CK21" i="6" s="1"/>
  <c r="AX80" i="6"/>
  <c r="AY80" i="6" s="1"/>
  <c r="AX81" i="6"/>
  <c r="AY81" i="6" s="1"/>
  <c r="AX82" i="6"/>
  <c r="BL15" i="6"/>
  <c r="BM15" i="6" s="1"/>
  <c r="BI42" i="6"/>
  <c r="BJ42" i="6" s="1"/>
  <c r="BN48" i="6"/>
  <c r="BH50" i="6"/>
  <c r="BI50" i="6" s="1"/>
  <c r="BH49" i="6"/>
  <c r="BH47" i="6"/>
  <c r="DH64" i="6" s="1"/>
  <c r="BD39" i="6"/>
  <c r="CH49" i="6" s="1"/>
  <c r="BL28" i="6"/>
  <c r="CW40" i="6" s="1"/>
  <c r="BL27" i="6"/>
  <c r="BM27" i="6" s="1"/>
  <c r="BL26" i="6"/>
  <c r="BL25" i="6"/>
  <c r="BM25" i="6" s="1"/>
  <c r="BL24" i="6"/>
  <c r="BL38" i="6"/>
  <c r="BM38" i="6" s="1"/>
  <c r="BL37" i="6"/>
  <c r="AZ65" i="6"/>
  <c r="BA65" i="6" s="1"/>
  <c r="AZ64" i="6"/>
  <c r="AZ63" i="6"/>
  <c r="BA63" i="6" s="1"/>
  <c r="AZ62" i="6"/>
  <c r="BA62" i="6" s="1"/>
  <c r="BE32" i="6"/>
  <c r="BE31" i="6"/>
  <c r="BE26" i="6"/>
  <c r="BE25" i="6"/>
  <c r="BE24" i="6"/>
  <c r="BE23" i="6"/>
  <c r="BE22" i="6"/>
  <c r="BE21" i="6"/>
  <c r="BL14" i="6"/>
  <c r="CW64" i="6" s="1"/>
  <c r="BD16" i="6"/>
  <c r="BD11" i="6"/>
  <c r="BA4" i="4"/>
  <c r="CJ6" i="4" s="1"/>
  <c r="BF4" i="4"/>
  <c r="CJ52" i="4" s="1"/>
  <c r="BE4" i="6"/>
  <c r="DA72" i="6" s="1"/>
  <c r="BJ4" i="6"/>
  <c r="BF7" i="6"/>
  <c r="CN16" i="6" s="1"/>
  <c r="BG7" i="6"/>
  <c r="CN24" i="6" s="1"/>
  <c r="BF6" i="6"/>
  <c r="BG6" i="6"/>
  <c r="BF5" i="6"/>
  <c r="BG5" i="6"/>
  <c r="CN66" i="6" s="1"/>
  <c r="U17" i="7"/>
  <c r="AY17" i="7" s="1"/>
  <c r="AB16" i="7"/>
  <c r="O16" i="7" s="1"/>
  <c r="AB15" i="7"/>
  <c r="R29" i="7" s="1"/>
  <c r="AB14" i="7"/>
  <c r="AB17" i="7"/>
  <c r="AI22" i="7" s="1"/>
  <c r="T15" i="7"/>
  <c r="V15" i="7"/>
  <c r="AM25" i="7" s="1"/>
  <c r="T19" i="7"/>
  <c r="V19" i="7"/>
  <c r="AM26" i="7" s="1"/>
  <c r="AB22" i="7"/>
  <c r="AE22" i="7" s="1"/>
  <c r="AB20" i="7"/>
  <c r="AE20" i="7" s="1"/>
  <c r="AB21" i="7"/>
  <c r="AI23" i="7" s="1"/>
  <c r="AB6" i="7"/>
  <c r="AE6" i="7" s="1"/>
  <c r="AB7" i="7"/>
  <c r="S16" i="7" s="1"/>
  <c r="AB25" i="7"/>
  <c r="AB26" i="7"/>
  <c r="Q27" i="7" s="1"/>
  <c r="AB10" i="7"/>
  <c r="AB11" i="7"/>
  <c r="P30" i="7" s="1"/>
  <c r="AB29" i="7"/>
  <c r="AB30" i="7"/>
  <c r="AI26" i="7" s="1"/>
  <c r="AB34" i="7"/>
  <c r="AB33" i="7"/>
  <c r="S17" i="7"/>
  <c r="Q17" i="7"/>
  <c r="U16" i="7"/>
  <c r="U13" i="7"/>
  <c r="Z13" i="7" s="1"/>
  <c r="AY13" i="7"/>
  <c r="U12" i="7"/>
  <c r="AY12" i="7" s="1"/>
  <c r="U30" i="7"/>
  <c r="AY30" i="7" s="1"/>
  <c r="U29" i="7"/>
  <c r="E29" i="7" s="1"/>
  <c r="U27" i="7"/>
  <c r="AY27" i="7" s="1"/>
  <c r="AZ27" i="7" s="1"/>
  <c r="BA27" i="7" s="1"/>
  <c r="U26" i="7"/>
  <c r="AY26" i="7" s="1"/>
  <c r="U24" i="7"/>
  <c r="E24" i="7" s="1"/>
  <c r="AY24" i="7"/>
  <c r="U23" i="7"/>
  <c r="Z23" i="7" s="1"/>
  <c r="U21" i="7"/>
  <c r="AY21" i="7" s="1"/>
  <c r="AZ21" i="7" s="1"/>
  <c r="BA21" i="7" s="1"/>
  <c r="U20" i="7"/>
  <c r="E20" i="7" s="1"/>
  <c r="U19" i="7"/>
  <c r="AY19" i="7" s="1"/>
  <c r="U15" i="7"/>
  <c r="Z15" i="7" s="1"/>
  <c r="U10" i="7"/>
  <c r="AY10" i="7" s="1"/>
  <c r="U9" i="7"/>
  <c r="Z9" i="7" s="1"/>
  <c r="U7" i="7"/>
  <c r="U6" i="7"/>
  <c r="BD75" i="7"/>
  <c r="BD96" i="7"/>
  <c r="BD95" i="7"/>
  <c r="BD94" i="7"/>
  <c r="BD93" i="7"/>
  <c r="BD92" i="7"/>
  <c r="BD91" i="7"/>
  <c r="BD90" i="7"/>
  <c r="BD89" i="7"/>
  <c r="BD88" i="7"/>
  <c r="BD87" i="7"/>
  <c r="BD86" i="7"/>
  <c r="BD85" i="7"/>
  <c r="BD84" i="7"/>
  <c r="BD83" i="7"/>
  <c r="BD82" i="7"/>
  <c r="BD81" i="7"/>
  <c r="BD80" i="7"/>
  <c r="BD79" i="7"/>
  <c r="BD78" i="7"/>
  <c r="BD77" i="7"/>
  <c r="BD76" i="7"/>
  <c r="BD74" i="7"/>
  <c r="BD73" i="7"/>
  <c r="BD72" i="7"/>
  <c r="BD71" i="7"/>
  <c r="BD70" i="7"/>
  <c r="BD69" i="7"/>
  <c r="BD68" i="7"/>
  <c r="BD67" i="7"/>
  <c r="BD66" i="7"/>
  <c r="BD65" i="7"/>
  <c r="BD64" i="7"/>
  <c r="BD63" i="7"/>
  <c r="BD62" i="7"/>
  <c r="BD61" i="7"/>
  <c r="BD60" i="7"/>
  <c r="BD59" i="7"/>
  <c r="BD58" i="7"/>
  <c r="BD57" i="7"/>
  <c r="BD56" i="7"/>
  <c r="BD55" i="7"/>
  <c r="BD54" i="7"/>
  <c r="BD53" i="7"/>
  <c r="BD52" i="7"/>
  <c r="BD51" i="7"/>
  <c r="BD50" i="7"/>
  <c r="BD49" i="7"/>
  <c r="BD48" i="7"/>
  <c r="BD47" i="7"/>
  <c r="BD46" i="7"/>
  <c r="BD45" i="7"/>
  <c r="BD44" i="7"/>
  <c r="BD43" i="7"/>
  <c r="BD42" i="7"/>
  <c r="BD41" i="7"/>
  <c r="BD40" i="7"/>
  <c r="BD39" i="7"/>
  <c r="BD38" i="7"/>
  <c r="BD37" i="7"/>
  <c r="BD36" i="7"/>
  <c r="BD35" i="7"/>
  <c r="BD34" i="7"/>
  <c r="BD33" i="7"/>
  <c r="BD32" i="7"/>
  <c r="BD31" i="7"/>
  <c r="BD30" i="7"/>
  <c r="BD29" i="7"/>
  <c r="BD28" i="7"/>
  <c r="BD27" i="7"/>
  <c r="BD26" i="7"/>
  <c r="BD25" i="7"/>
  <c r="BD24" i="7"/>
  <c r="BD23" i="7"/>
  <c r="BD22" i="7"/>
  <c r="BD21" i="7"/>
  <c r="BD20" i="7"/>
  <c r="BD19" i="7"/>
  <c r="BD18" i="7"/>
  <c r="BD17" i="7"/>
  <c r="BD16" i="7"/>
  <c r="BD15" i="7"/>
  <c r="BD14" i="7"/>
  <c r="BD13" i="7"/>
  <c r="BD12" i="7"/>
  <c r="BD11" i="7"/>
  <c r="BD10" i="7"/>
  <c r="T20" i="7"/>
  <c r="V20" i="7"/>
  <c r="AQ10" i="7" s="1"/>
  <c r="T6" i="7"/>
  <c r="V6" i="7"/>
  <c r="AM6" i="7" s="1"/>
  <c r="T9" i="7"/>
  <c r="V9" i="7"/>
  <c r="AM8" i="7" s="1"/>
  <c r="T12" i="7"/>
  <c r="V12" i="7"/>
  <c r="AM10" i="7" s="1"/>
  <c r="T16" i="7"/>
  <c r="V16" i="7" s="1"/>
  <c r="AM12" i="7" s="1"/>
  <c r="T23" i="7"/>
  <c r="V23" i="7"/>
  <c r="AQ11" i="7" s="1"/>
  <c r="T26" i="7"/>
  <c r="V26" i="7"/>
  <c r="AQ12" i="7" s="1"/>
  <c r="T29" i="7"/>
  <c r="V29" i="7"/>
  <c r="AI15" i="7" s="1"/>
  <c r="T7" i="7"/>
  <c r="V7" i="7"/>
  <c r="AQ16" i="7" s="1"/>
  <c r="T10" i="7"/>
  <c r="V10" i="7"/>
  <c r="AQ17" i="7" s="1"/>
  <c r="T13" i="7"/>
  <c r="V13" i="7"/>
  <c r="AM11" i="7" s="1"/>
  <c r="T17" i="7"/>
  <c r="V17" i="7"/>
  <c r="AQ19" i="7" s="1"/>
  <c r="T21" i="7"/>
  <c r="V21" i="7"/>
  <c r="AQ20" i="7" s="1"/>
  <c r="T24" i="7"/>
  <c r="V24" i="7"/>
  <c r="AQ21" i="7" s="1"/>
  <c r="T27" i="7"/>
  <c r="V27" i="7"/>
  <c r="AQ22" i="7" s="1"/>
  <c r="T30" i="7"/>
  <c r="V30" i="7"/>
  <c r="AQ23" i="7" s="1"/>
  <c r="AE14" i="7"/>
  <c r="AE30" i="7"/>
  <c r="AE10" i="7"/>
  <c r="AE33" i="7"/>
  <c r="Z21" i="7"/>
  <c r="E17" i="7"/>
  <c r="E10" i="7"/>
  <c r="BA32" i="4"/>
  <c r="BA31" i="4"/>
  <c r="BA26" i="4"/>
  <c r="BA25" i="4"/>
  <c r="BA24" i="4"/>
  <c r="BA23" i="4"/>
  <c r="BA22" i="4"/>
  <c r="BA21" i="4"/>
  <c r="EE50" i="4"/>
  <c r="EE49" i="4"/>
  <c r="EH50" i="6"/>
  <c r="EH49" i="6"/>
  <c r="CT58" i="6"/>
  <c r="BD63" i="6"/>
  <c r="BD62" i="6"/>
  <c r="BD60" i="6"/>
  <c r="BD59" i="6"/>
  <c r="BD58" i="6"/>
  <c r="BI60" i="6"/>
  <c r="AP65" i="6"/>
  <c r="AO65" i="6"/>
  <c r="CQ38" i="6" s="1"/>
  <c r="AP64" i="6"/>
  <c r="AO64" i="6"/>
  <c r="CQ51" i="6" s="1"/>
  <c r="BI58" i="6"/>
  <c r="AP63" i="6"/>
  <c r="AO63" i="6"/>
  <c r="CQ62" i="6" s="1"/>
  <c r="BI57" i="6"/>
  <c r="AP62" i="6"/>
  <c r="AO62" i="6"/>
  <c r="CQ36" i="6" s="1"/>
  <c r="BM56" i="6"/>
  <c r="BI56" i="6"/>
  <c r="BD56" i="6"/>
  <c r="AP61" i="6"/>
  <c r="AO61" i="6"/>
  <c r="BM55" i="6"/>
  <c r="AP60" i="6"/>
  <c r="AO60" i="6"/>
  <c r="CQ35" i="6" s="1"/>
  <c r="AP59" i="6"/>
  <c r="AO59" i="6"/>
  <c r="CQ34" i="6" s="1"/>
  <c r="AP58" i="6"/>
  <c r="AO58" i="6"/>
  <c r="AP57" i="6"/>
  <c r="AO57" i="6"/>
  <c r="CQ45" i="6" s="1"/>
  <c r="AP56" i="6"/>
  <c r="AO56" i="6"/>
  <c r="DA56" i="6" s="1"/>
  <c r="BN50" i="6"/>
  <c r="BO50" i="6" s="1"/>
  <c r="AP55" i="6"/>
  <c r="AO55" i="6"/>
  <c r="DA55" i="6" s="1"/>
  <c r="BN49" i="6"/>
  <c r="AP54" i="6"/>
  <c r="AO54" i="6"/>
  <c r="DA54" i="6" s="1"/>
  <c r="BH48" i="6"/>
  <c r="BI48" i="6" s="1"/>
  <c r="AP53" i="6"/>
  <c r="AO53" i="6"/>
  <c r="DA53" i="6" s="1"/>
  <c r="BN47" i="6"/>
  <c r="BO47" i="6" s="1"/>
  <c r="AP52" i="6"/>
  <c r="AO52" i="6"/>
  <c r="CH29" i="6" s="1"/>
  <c r="BH46" i="6"/>
  <c r="BI46" i="6" s="1"/>
  <c r="AP51" i="6"/>
  <c r="AO51" i="6"/>
  <c r="CH28" i="6" s="1"/>
  <c r="AP50" i="6"/>
  <c r="AO50" i="6"/>
  <c r="AP49" i="6"/>
  <c r="AO49" i="6"/>
  <c r="CH26" i="6" s="1"/>
  <c r="AZ61" i="6"/>
  <c r="AP48" i="6"/>
  <c r="AO48" i="6"/>
  <c r="DA48" i="6" s="1"/>
  <c r="AZ60" i="6"/>
  <c r="AP47" i="6"/>
  <c r="AO47" i="6"/>
  <c r="CH24" i="6" s="1"/>
  <c r="BI41" i="6"/>
  <c r="CH53" i="6" s="1"/>
  <c r="AZ59" i="6"/>
  <c r="AP46" i="6"/>
  <c r="AO46" i="6"/>
  <c r="CH23" i="6" s="1"/>
  <c r="AP45" i="6"/>
  <c r="AO45" i="6"/>
  <c r="CH22" i="6" s="1"/>
  <c r="AP44" i="6"/>
  <c r="AO44" i="6"/>
  <c r="AP43" i="6"/>
  <c r="AO43" i="6"/>
  <c r="BD38" i="6"/>
  <c r="BE38" i="6" s="1"/>
  <c r="BA37" i="6"/>
  <c r="AP42" i="6"/>
  <c r="AO42" i="6"/>
  <c r="DA42" i="6" s="1"/>
  <c r="BL36" i="6"/>
  <c r="BM36" i="6" s="1"/>
  <c r="BA36" i="6"/>
  <c r="AP41" i="6"/>
  <c r="AO41" i="6"/>
  <c r="DA41" i="6" s="1"/>
  <c r="BL35" i="6"/>
  <c r="CE61" i="6" s="1"/>
  <c r="BA35" i="6"/>
  <c r="AP40" i="6"/>
  <c r="AO40" i="6"/>
  <c r="DA40" i="6" s="1"/>
  <c r="BD35" i="6"/>
  <c r="BA34" i="6"/>
  <c r="AP39" i="6"/>
  <c r="AO39" i="6"/>
  <c r="BD34" i="6"/>
  <c r="EH13" i="6" s="1"/>
  <c r="BA33" i="6"/>
  <c r="AP38" i="6"/>
  <c r="AO38" i="6"/>
  <c r="DA38" i="6" s="1"/>
  <c r="BA32" i="6"/>
  <c r="AP37" i="6"/>
  <c r="AO37" i="6"/>
  <c r="DA37" i="6" s="1"/>
  <c r="BD32" i="6"/>
  <c r="CE8" i="6" s="1"/>
  <c r="BA31" i="6"/>
  <c r="AP36" i="6"/>
  <c r="AO36" i="6"/>
  <c r="CH21" i="6" s="1"/>
  <c r="BD31" i="6"/>
  <c r="CE23" i="6" s="1"/>
  <c r="BA30" i="6"/>
  <c r="AP35" i="6"/>
  <c r="AO35" i="6"/>
  <c r="CH20" i="6" s="1"/>
  <c r="BD30" i="6"/>
  <c r="CE34" i="6" s="1"/>
  <c r="BA29" i="6"/>
  <c r="AP34" i="6"/>
  <c r="AO34" i="6"/>
  <c r="CH19" i="6" s="1"/>
  <c r="BD29" i="6"/>
  <c r="BA28" i="6"/>
  <c r="AP33" i="6"/>
  <c r="AO33" i="6"/>
  <c r="CQ10" i="6" s="1"/>
  <c r="BD27" i="6"/>
  <c r="BA27" i="6"/>
  <c r="AP32" i="6"/>
  <c r="AO32" i="6"/>
  <c r="DA32" i="6" s="1"/>
  <c r="BD26" i="6"/>
  <c r="BA26" i="6"/>
  <c r="AP31" i="6"/>
  <c r="AO31" i="6"/>
  <c r="BD25" i="6"/>
  <c r="CE21" i="6" s="1"/>
  <c r="BA25" i="6"/>
  <c r="AP30" i="6"/>
  <c r="AO30" i="6"/>
  <c r="DA30" i="6" s="1"/>
  <c r="BD24" i="6"/>
  <c r="BA24" i="6"/>
  <c r="AP29" i="6"/>
  <c r="AO29" i="6"/>
  <c r="BL23" i="6"/>
  <c r="CE52" i="6" s="1"/>
  <c r="BD23" i="6"/>
  <c r="CE7" i="6" s="1"/>
  <c r="BA23" i="6"/>
  <c r="AP28" i="6"/>
  <c r="AO28" i="6"/>
  <c r="DA28" i="6" s="1"/>
  <c r="BD22" i="6"/>
  <c r="BA22" i="6"/>
  <c r="AP27" i="6"/>
  <c r="AO27" i="6"/>
  <c r="CH15" i="6" s="1"/>
  <c r="BD21" i="6"/>
  <c r="BA21" i="6"/>
  <c r="AP26" i="6"/>
  <c r="AO26" i="6"/>
  <c r="DA26" i="6" s="1"/>
  <c r="BD20" i="6"/>
  <c r="BA20" i="6"/>
  <c r="AP25" i="6"/>
  <c r="AO25" i="6"/>
  <c r="BA19" i="6"/>
  <c r="AP24" i="6"/>
  <c r="AO24" i="6"/>
  <c r="BA18" i="6"/>
  <c r="AP23" i="6"/>
  <c r="AO23" i="6"/>
  <c r="DA23" i="6" s="1"/>
  <c r="BA17" i="6"/>
  <c r="AP22" i="6"/>
  <c r="AO22" i="6"/>
  <c r="DA22" i="6" s="1"/>
  <c r="BA16" i="6"/>
  <c r="AP21" i="6"/>
  <c r="AO21" i="6"/>
  <c r="DA21" i="6" s="1"/>
  <c r="BD15" i="6"/>
  <c r="BA15" i="6"/>
  <c r="AP19" i="6"/>
  <c r="AO19" i="6"/>
  <c r="CT19" i="6" s="1"/>
  <c r="BA14" i="6"/>
  <c r="AP18" i="6"/>
  <c r="AO18" i="6"/>
  <c r="DA18" i="6" s="1"/>
  <c r="BL13" i="6"/>
  <c r="BM13" i="6" s="1"/>
  <c r="BA13" i="6"/>
  <c r="AP17" i="6"/>
  <c r="AO17" i="6"/>
  <c r="BL12" i="6"/>
  <c r="BM12" i="6" s="1"/>
  <c r="BA12" i="6"/>
  <c r="AP16" i="6"/>
  <c r="AO16" i="6"/>
  <c r="BL11" i="6"/>
  <c r="BM11" i="6" s="1"/>
  <c r="BH11" i="6"/>
  <c r="CH45" i="6" s="1"/>
  <c r="BA11" i="6"/>
  <c r="AP14" i="6"/>
  <c r="AO14" i="6"/>
  <c r="CN62" i="6" s="1"/>
  <c r="BH10" i="6"/>
  <c r="BD10" i="6"/>
  <c r="BA10" i="6"/>
  <c r="AP13" i="6"/>
  <c r="AO13" i="6"/>
  <c r="BA9" i="6"/>
  <c r="AP12" i="6"/>
  <c r="AO12" i="6"/>
  <c r="DA12" i="6" s="1"/>
  <c r="BA8" i="6"/>
  <c r="AP11" i="6"/>
  <c r="AO11" i="6"/>
  <c r="DA11" i="6" s="1"/>
  <c r="BE7" i="6"/>
  <c r="BA7" i="6"/>
  <c r="AP9" i="6"/>
  <c r="AO9" i="6"/>
  <c r="DA9" i="6" s="1"/>
  <c r="BE6" i="6"/>
  <c r="DG72" i="6" s="1"/>
  <c r="BA6" i="6"/>
  <c r="AP8" i="6"/>
  <c r="AO8" i="6"/>
  <c r="BE5" i="6"/>
  <c r="BA5" i="6"/>
  <c r="AP7" i="6"/>
  <c r="AO7" i="6"/>
  <c r="CH8" i="6" s="1"/>
  <c r="BI4" i="6"/>
  <c r="DA74" i="6" s="1"/>
  <c r="BH4" i="6"/>
  <c r="CN33" i="6" s="1"/>
  <c r="BA4" i="6"/>
  <c r="AP5" i="6"/>
  <c r="AO5" i="6"/>
  <c r="CW6" i="6" s="1"/>
  <c r="BA3" i="6"/>
  <c r="AP4" i="6"/>
  <c r="AO4" i="6"/>
  <c r="DA4" i="6" s="1"/>
  <c r="AR60" i="4"/>
  <c r="AZ16" i="4"/>
  <c r="BD46" i="4"/>
  <c r="CM20" i="4" s="1"/>
  <c r="BD48" i="4"/>
  <c r="BE48" i="4" s="1"/>
  <c r="BD49" i="4"/>
  <c r="BE49" i="4" s="1"/>
  <c r="BD50" i="4"/>
  <c r="AV62" i="4"/>
  <c r="AL5" i="4"/>
  <c r="CS6" i="4" s="1"/>
  <c r="BI56" i="4"/>
  <c r="BJ56" i="4" s="1"/>
  <c r="AL4" i="4"/>
  <c r="CW4" i="4" s="1"/>
  <c r="CY4" i="4" s="1"/>
  <c r="AL7" i="4"/>
  <c r="CD8" i="4" s="1"/>
  <c r="AL8" i="4"/>
  <c r="CW8" i="4" s="1"/>
  <c r="CY8" i="4" s="1"/>
  <c r="AL9" i="4"/>
  <c r="CW9" i="4" s="1"/>
  <c r="CY9" i="4" s="1"/>
  <c r="AL25" i="4"/>
  <c r="CW25" i="4" s="1"/>
  <c r="CY25" i="4" s="1"/>
  <c r="AL26" i="4"/>
  <c r="CD12" i="4" s="1"/>
  <c r="AL27" i="4"/>
  <c r="CD13" i="4" s="1"/>
  <c r="AL28" i="4"/>
  <c r="CD14" i="4" s="1"/>
  <c r="AL29" i="4"/>
  <c r="AL36" i="4"/>
  <c r="CM10" i="4" s="1"/>
  <c r="AL37" i="4"/>
  <c r="CJ26" i="4" s="1"/>
  <c r="AL38" i="4"/>
  <c r="AL39" i="4"/>
  <c r="CJ27" i="4" s="1"/>
  <c r="AL41" i="4"/>
  <c r="AL42" i="4"/>
  <c r="CD21" i="4" s="1"/>
  <c r="AL51" i="4"/>
  <c r="CD22" i="4" s="1"/>
  <c r="AL52" i="4"/>
  <c r="CD23" i="4" s="1"/>
  <c r="AL53" i="4"/>
  <c r="AL54" i="4"/>
  <c r="CD25" i="4" s="1"/>
  <c r="AL55" i="4"/>
  <c r="CD26" i="4" s="1"/>
  <c r="AL56" i="4"/>
  <c r="CW56" i="4" s="1"/>
  <c r="CY56" i="4" s="1"/>
  <c r="AL57" i="4"/>
  <c r="CM12" i="4" s="1"/>
  <c r="AL58" i="4"/>
  <c r="AL59" i="4"/>
  <c r="CD30" i="4" s="1"/>
  <c r="AL60" i="4"/>
  <c r="AL61" i="4"/>
  <c r="CM58" i="4" s="1"/>
  <c r="AL62" i="4"/>
  <c r="CM24" i="4" s="1"/>
  <c r="AL63" i="4"/>
  <c r="CM34" i="4" s="1"/>
  <c r="AL64" i="4"/>
  <c r="CW64" i="4" s="1"/>
  <c r="CY64" i="4" s="1"/>
  <c r="AL67" i="4"/>
  <c r="CW67" i="4" s="1"/>
  <c r="CY67" i="4" s="1"/>
  <c r="AL68" i="4"/>
  <c r="CJ46" i="4" s="1"/>
  <c r="AL69" i="4"/>
  <c r="AV63" i="4"/>
  <c r="AZ11" i="4"/>
  <c r="AZ21" i="4"/>
  <c r="AZ22" i="4"/>
  <c r="CA6" i="4" s="1"/>
  <c r="AZ23" i="4"/>
  <c r="CA7" i="4" s="1"/>
  <c r="AZ24" i="4"/>
  <c r="AZ25" i="4"/>
  <c r="AZ26" i="4"/>
  <c r="AZ27" i="4"/>
  <c r="CA32" i="4" s="1"/>
  <c r="AZ29" i="4"/>
  <c r="AZ30" i="4"/>
  <c r="CA34" i="4" s="1"/>
  <c r="AZ31" i="4"/>
  <c r="AZ32" i="4"/>
  <c r="CA8" i="4" s="1"/>
  <c r="BA5" i="4"/>
  <c r="BA6" i="4"/>
  <c r="CZ73" i="4" s="1"/>
  <c r="BA7" i="4"/>
  <c r="BC5" i="4"/>
  <c r="CJ63" i="4" s="1"/>
  <c r="BC6" i="4"/>
  <c r="BC7" i="4"/>
  <c r="BD4" i="4"/>
  <c r="BE4" i="4"/>
  <c r="CD43" i="4" s="1"/>
  <c r="BD11" i="4"/>
  <c r="CD45" i="4" s="1"/>
  <c r="BH11" i="4"/>
  <c r="BH12" i="4"/>
  <c r="BI12" i="4" s="1"/>
  <c r="BH26" i="4"/>
  <c r="BH27" i="4"/>
  <c r="CA60" i="4" s="1"/>
  <c r="BH28" i="4"/>
  <c r="CA27" i="4" s="1"/>
  <c r="AL66" i="4"/>
  <c r="CW66" i="4" s="1"/>
  <c r="CY66" i="4" s="1"/>
  <c r="AL65" i="4"/>
  <c r="CW65" i="4" s="1"/>
  <c r="CY65" i="4" s="1"/>
  <c r="AL50" i="4"/>
  <c r="CW50" i="4" s="1"/>
  <c r="CY50" i="4" s="1"/>
  <c r="AL49" i="4"/>
  <c r="CW49" i="4" s="1"/>
  <c r="CY49" i="4" s="1"/>
  <c r="AL48" i="4"/>
  <c r="AL47" i="4"/>
  <c r="CW47" i="4" s="1"/>
  <c r="CY47" i="4" s="1"/>
  <c r="AL46" i="4"/>
  <c r="CW46" i="4" s="1"/>
  <c r="CY46" i="4" s="1"/>
  <c r="AL45" i="4"/>
  <c r="CW45" i="4" s="1"/>
  <c r="CY45" i="4" s="1"/>
  <c r="AL44" i="4"/>
  <c r="AL43" i="4"/>
  <c r="CW43" i="4" s="1"/>
  <c r="CY43" i="4" s="1"/>
  <c r="AL34" i="4"/>
  <c r="AL33" i="4"/>
  <c r="CW33" i="4" s="1"/>
  <c r="CY33" i="4" s="1"/>
  <c r="AL32" i="4"/>
  <c r="CW32" i="4" s="1"/>
  <c r="CY32" i="4" s="1"/>
  <c r="AL31" i="4"/>
  <c r="CW31" i="4" s="1"/>
  <c r="CY31" i="4" s="1"/>
  <c r="AL30" i="4"/>
  <c r="AL22" i="4"/>
  <c r="CW22" i="4" s="1"/>
  <c r="CY22" i="4" s="1"/>
  <c r="AL21" i="4"/>
  <c r="CW21" i="4" s="1"/>
  <c r="CY21" i="4" s="1"/>
  <c r="AL19" i="4"/>
  <c r="CW19" i="4" s="1"/>
  <c r="CY19" i="4" s="1"/>
  <c r="AL18" i="4"/>
  <c r="CW18" i="4" s="1"/>
  <c r="CY18" i="4" s="1"/>
  <c r="AL17" i="4"/>
  <c r="CW17" i="4" s="1"/>
  <c r="CY17" i="4" s="1"/>
  <c r="AL16" i="4"/>
  <c r="CW16" i="4" s="1"/>
  <c r="CY16" i="4" s="1"/>
  <c r="AL14" i="4"/>
  <c r="CW14" i="4" s="1"/>
  <c r="CY14" i="4" s="1"/>
  <c r="AL13" i="4"/>
  <c r="CW13" i="4" s="1"/>
  <c r="CY13" i="4" s="1"/>
  <c r="AL12" i="4"/>
  <c r="CW12" i="4" s="1"/>
  <c r="CY12" i="4" s="1"/>
  <c r="AL11" i="4"/>
  <c r="BH24" i="4"/>
  <c r="BH25" i="4"/>
  <c r="CA54" i="4" s="1"/>
  <c r="BH36" i="4"/>
  <c r="CA55" i="4" s="1"/>
  <c r="BH23" i="4"/>
  <c r="BH35" i="4"/>
  <c r="BD10" i="4"/>
  <c r="BE10" i="4" s="1"/>
  <c r="BE13" i="4" s="1"/>
  <c r="BE60" i="4"/>
  <c r="BE56" i="4"/>
  <c r="BE58" i="4"/>
  <c r="BE57" i="4"/>
  <c r="BN11" i="4"/>
  <c r="BN6" i="4"/>
  <c r="CP24" i="4"/>
  <c r="AZ10" i="4"/>
  <c r="BH13" i="4"/>
  <c r="BI13" i="4" s="1"/>
  <c r="BH15" i="4"/>
  <c r="BI15" i="4" s="1"/>
  <c r="BH14" i="4"/>
  <c r="AZ15" i="4"/>
  <c r="AZ20" i="4"/>
  <c r="AV64" i="4"/>
  <c r="AW64" i="4" s="1"/>
  <c r="AV65" i="4"/>
  <c r="AV66" i="4"/>
  <c r="AW66" i="4" s="1"/>
  <c r="AV67" i="4"/>
  <c r="AW67" i="4" s="1"/>
  <c r="AM4" i="4"/>
  <c r="AM5" i="4"/>
  <c r="AM7" i="4"/>
  <c r="AM8" i="4"/>
  <c r="AM9" i="4"/>
  <c r="AM11" i="4"/>
  <c r="AM12" i="4"/>
  <c r="AM13" i="4"/>
  <c r="AM14" i="4"/>
  <c r="AM16" i="4"/>
  <c r="AM17" i="4"/>
  <c r="AM18" i="4"/>
  <c r="AM19" i="4"/>
  <c r="AM21" i="4"/>
  <c r="AM22" i="4"/>
  <c r="BH37" i="4"/>
  <c r="BI37" i="4" s="1"/>
  <c r="BH38" i="4"/>
  <c r="BI38" i="4" s="1"/>
  <c r="AZ39" i="4"/>
  <c r="BA39" i="4" s="1"/>
  <c r="AZ40" i="4"/>
  <c r="CD49" i="4" s="1"/>
  <c r="BB5" i="4"/>
  <c r="AM25" i="4"/>
  <c r="AM26" i="4"/>
  <c r="AM27" i="4"/>
  <c r="AM28" i="4"/>
  <c r="AM29" i="4"/>
  <c r="AM30" i="4"/>
  <c r="AM31" i="4"/>
  <c r="AM32" i="4"/>
  <c r="AM33" i="4"/>
  <c r="AM34" i="4"/>
  <c r="BB6" i="4"/>
  <c r="CZ74" i="4" s="1"/>
  <c r="AM36" i="4"/>
  <c r="AM37" i="4"/>
  <c r="AM38" i="4"/>
  <c r="BE42" i="4"/>
  <c r="BE41" i="4"/>
  <c r="BF41" i="4" s="1"/>
  <c r="BD47" i="4"/>
  <c r="DB65" i="4" s="1"/>
  <c r="BJ49" i="4"/>
  <c r="BK49" i="4" s="1"/>
  <c r="BJ47" i="4"/>
  <c r="BK47" i="4" s="1"/>
  <c r="BJ50" i="4"/>
  <c r="BK50" i="4" s="1"/>
  <c r="BI55" i="4"/>
  <c r="BJ55" i="4" s="1"/>
  <c r="AY47" i="4"/>
  <c r="AZ47" i="4" s="1"/>
  <c r="AY49" i="4"/>
  <c r="AY46" i="4"/>
  <c r="AY48" i="4"/>
  <c r="AZ63" i="4"/>
  <c r="AZ62" i="4"/>
  <c r="AZ58" i="4"/>
  <c r="AZ59" i="4"/>
  <c r="AZ60" i="4"/>
  <c r="BB7" i="4"/>
  <c r="DB74" i="4" s="1"/>
  <c r="AZ56" i="4"/>
  <c r="AZ74" i="4" s="1"/>
  <c r="AV61" i="4"/>
  <c r="AZ34" i="4"/>
  <c r="AZ35" i="4"/>
  <c r="AW12" i="4"/>
  <c r="AW5" i="4"/>
  <c r="AW6" i="4"/>
  <c r="AW8" i="4"/>
  <c r="AW7" i="4"/>
  <c r="AW3" i="4"/>
  <c r="AW4" i="4"/>
  <c r="AW9" i="4"/>
  <c r="AW10" i="4"/>
  <c r="AW11" i="4"/>
  <c r="AW13" i="4"/>
  <c r="AW14" i="4"/>
  <c r="AW15" i="4"/>
  <c r="AW16" i="4"/>
  <c r="AW17" i="4"/>
  <c r="AW19" i="4"/>
  <c r="AW20" i="4"/>
  <c r="AW21" i="4"/>
  <c r="AW22" i="4"/>
  <c r="AW23" i="4"/>
  <c r="AW24" i="4"/>
  <c r="AW25" i="4"/>
  <c r="AW26" i="4"/>
  <c r="AW27" i="4"/>
  <c r="AW28" i="4"/>
  <c r="AW29" i="4"/>
  <c r="AW30" i="4"/>
  <c r="AW31" i="4"/>
  <c r="AW32" i="4"/>
  <c r="AW33" i="4"/>
  <c r="AW34" i="4"/>
  <c r="AR59" i="4"/>
  <c r="AR63" i="4"/>
  <c r="AT63" i="4" s="1"/>
  <c r="AR62" i="4"/>
  <c r="AR65" i="4"/>
  <c r="AR61" i="4"/>
  <c r="AR64" i="4"/>
  <c r="AT64" i="4" s="1"/>
  <c r="CT41" i="6"/>
  <c r="Z24" i="7"/>
  <c r="Z20" i="7"/>
  <c r="E13" i="7"/>
  <c r="CT23" i="6"/>
  <c r="AQ8" i="7"/>
  <c r="Z12" i="7"/>
  <c r="AM7" i="7"/>
  <c r="G76" i="4" l="1"/>
  <c r="DI32" i="6"/>
  <c r="DI28" i="6"/>
  <c r="DI24" i="6"/>
  <c r="DI20" i="6"/>
  <c r="DI16" i="6"/>
  <c r="DI12" i="6"/>
  <c r="DI8" i="6"/>
  <c r="DI4" i="6"/>
  <c r="DJ54" i="6"/>
  <c r="DJ50" i="6"/>
  <c r="DJ46" i="6"/>
  <c r="DJ42" i="6"/>
  <c r="DJ38" i="6"/>
  <c r="DJ34" i="6"/>
  <c r="DI31" i="6"/>
  <c r="DI27" i="6"/>
  <c r="DI23" i="6"/>
  <c r="DI19" i="6"/>
  <c r="DI15" i="6"/>
  <c r="DI11" i="6"/>
  <c r="DI7" i="6"/>
  <c r="DI3" i="6"/>
  <c r="DJ53" i="6"/>
  <c r="DJ49" i="6"/>
  <c r="DJ45" i="6"/>
  <c r="DJ41" i="6"/>
  <c r="DJ37" i="6"/>
  <c r="DI30" i="6"/>
  <c r="DI26" i="6"/>
  <c r="DI22" i="6"/>
  <c r="DI18" i="6"/>
  <c r="DI14" i="6"/>
  <c r="DI10" i="6"/>
  <c r="DI6" i="6"/>
  <c r="DJ56" i="6"/>
  <c r="DJ52" i="6"/>
  <c r="DJ48" i="6"/>
  <c r="DJ44" i="6"/>
  <c r="DJ40" i="6"/>
  <c r="DJ36" i="6"/>
  <c r="DI29" i="6"/>
  <c r="DI25" i="6"/>
  <c r="DI21" i="6"/>
  <c r="DI17" i="6"/>
  <c r="DI13" i="6"/>
  <c r="DI9" i="6"/>
  <c r="DI5" i="6"/>
  <c r="DJ55" i="6"/>
  <c r="DJ51" i="6"/>
  <c r="DJ47" i="6"/>
  <c r="DJ43" i="6"/>
  <c r="DJ39" i="6"/>
  <c r="DJ35" i="6"/>
  <c r="G75" i="4"/>
  <c r="AZ69" i="6"/>
  <c r="DD20" i="6" s="1"/>
  <c r="DE20" i="6" s="1"/>
  <c r="EH14" i="4"/>
  <c r="EH33" i="4"/>
  <c r="EH23" i="4"/>
  <c r="EK14" i="6"/>
  <c r="CK6" i="6"/>
  <c r="CK4" i="6"/>
  <c r="CK5" i="6"/>
  <c r="EK23" i="6"/>
  <c r="EK33" i="6" s="1"/>
  <c r="BI72" i="6"/>
  <c r="BD75" i="6"/>
  <c r="BD76" i="6"/>
  <c r="BE72" i="4"/>
  <c r="AZ76" i="4"/>
  <c r="AZ75" i="4"/>
  <c r="BM24" i="6"/>
  <c r="O10" i="7"/>
  <c r="Z29" i="7"/>
  <c r="AY20" i="7"/>
  <c r="AZ20" i="7" s="1"/>
  <c r="BA20" i="7" s="1"/>
  <c r="AE21" i="7"/>
  <c r="AI24" i="7"/>
  <c r="AE17" i="7"/>
  <c r="AQ13" i="7"/>
  <c r="AM20" i="7"/>
  <c r="AM18" i="7"/>
  <c r="E27" i="7"/>
  <c r="Z27" i="7"/>
  <c r="AM14" i="7"/>
  <c r="AQ18" i="7"/>
  <c r="AQ7" i="7"/>
  <c r="E9" i="7"/>
  <c r="AY9" i="7"/>
  <c r="AZ9" i="7" s="1"/>
  <c r="BA9" i="7" s="1"/>
  <c r="AB31" i="7"/>
  <c r="AK39" i="7" s="1"/>
  <c r="P21" i="7"/>
  <c r="AU77" i="6"/>
  <c r="EH8" i="6"/>
  <c r="EE8" i="4"/>
  <c r="CG27" i="4"/>
  <c r="AR74" i="4"/>
  <c r="BC22" i="4"/>
  <c r="BC26" i="4"/>
  <c r="BC30" i="4"/>
  <c r="L32" i="4"/>
  <c r="L27" i="4"/>
  <c r="L23" i="4"/>
  <c r="BC21" i="4"/>
  <c r="BC25" i="4"/>
  <c r="BC29" i="4"/>
  <c r="L30" i="4"/>
  <c r="L26" i="4"/>
  <c r="L21" i="4"/>
  <c r="BC32" i="4"/>
  <c r="BC24" i="4"/>
  <c r="BC28" i="4"/>
  <c r="L29" i="4"/>
  <c r="L25" i="4"/>
  <c r="L22" i="4"/>
  <c r="BC23" i="4"/>
  <c r="BC31" i="4"/>
  <c r="BC27" i="4"/>
  <c r="L31" i="4"/>
  <c r="L28" i="4"/>
  <c r="L24" i="4"/>
  <c r="BG28" i="6"/>
  <c r="BG32" i="6"/>
  <c r="BG24" i="6"/>
  <c r="BG22" i="6"/>
  <c r="BG30" i="6"/>
  <c r="BG25" i="6"/>
  <c r="BG23" i="6"/>
  <c r="BG31" i="6"/>
  <c r="BG27" i="6"/>
  <c r="BG26" i="6"/>
  <c r="BG21" i="6"/>
  <c r="BG29" i="6"/>
  <c r="L32" i="6"/>
  <c r="L28" i="6"/>
  <c r="L26" i="6"/>
  <c r="L31" i="6"/>
  <c r="L27" i="6"/>
  <c r="L30" i="6"/>
  <c r="L29" i="6"/>
  <c r="L24" i="6"/>
  <c r="L21" i="6"/>
  <c r="L22" i="6"/>
  <c r="L25" i="6"/>
  <c r="L23" i="6"/>
  <c r="BZ29" i="6"/>
  <c r="AE7" i="7"/>
  <c r="S10" i="7"/>
  <c r="S13" i="7"/>
  <c r="S6" i="7"/>
  <c r="S9" i="7"/>
  <c r="AB23" i="7"/>
  <c r="AI39" i="7" s="1"/>
  <c r="Q21" i="7"/>
  <c r="Q20" i="7"/>
  <c r="AB35" i="7"/>
  <c r="AL39" i="7" s="1"/>
  <c r="AQ9" i="7"/>
  <c r="AY29" i="7"/>
  <c r="AZ29" i="7" s="1"/>
  <c r="BA29" i="7" s="1"/>
  <c r="E30" i="7"/>
  <c r="AI16" i="7"/>
  <c r="AI13" i="7"/>
  <c r="AM19" i="7"/>
  <c r="E23" i="7"/>
  <c r="AI10" i="7"/>
  <c r="AY23" i="7"/>
  <c r="AZ23" i="7" s="1"/>
  <c r="BA23" i="7" s="1"/>
  <c r="E19" i="7"/>
  <c r="Z19" i="7"/>
  <c r="E21" i="7"/>
  <c r="Z10" i="7"/>
  <c r="AU16" i="7"/>
  <c r="R6" i="7"/>
  <c r="P16" i="7"/>
  <c r="S7" i="7"/>
  <c r="S20" i="7"/>
  <c r="S21" i="7"/>
  <c r="Q7" i="7"/>
  <c r="Q9" i="7"/>
  <c r="Q26" i="7"/>
  <c r="Q29" i="7"/>
  <c r="Q12" i="7"/>
  <c r="AB27" i="7"/>
  <c r="AJ39" i="7" s="1"/>
  <c r="AE26" i="7"/>
  <c r="Q6" i="7"/>
  <c r="Q10" i="7"/>
  <c r="Q24" i="7"/>
  <c r="Q16" i="7"/>
  <c r="AU13" i="7"/>
  <c r="Q23" i="7"/>
  <c r="Q30" i="7"/>
  <c r="Q13" i="7"/>
  <c r="AE15" i="7"/>
  <c r="R24" i="7"/>
  <c r="R26" i="7"/>
  <c r="R12" i="7"/>
  <c r="AI21" i="7"/>
  <c r="O21" i="7"/>
  <c r="P9" i="7"/>
  <c r="P23" i="7"/>
  <c r="P13" i="7"/>
  <c r="AB12" i="7"/>
  <c r="AG39" i="7" s="1"/>
  <c r="S12" i="7"/>
  <c r="AE34" i="7"/>
  <c r="AE29" i="7"/>
  <c r="R7" i="7"/>
  <c r="R20" i="7"/>
  <c r="R13" i="7"/>
  <c r="R10" i="7"/>
  <c r="R30" i="7"/>
  <c r="R16" i="7"/>
  <c r="R17" i="7"/>
  <c r="R9" i="7"/>
  <c r="R21" i="7"/>
  <c r="R23" i="7"/>
  <c r="R27" i="7"/>
  <c r="P6" i="7"/>
  <c r="P15" i="7"/>
  <c r="P20" i="7"/>
  <c r="P24" i="7"/>
  <c r="P17" i="7"/>
  <c r="AE11" i="7"/>
  <c r="AI19" i="7"/>
  <c r="P7" i="7"/>
  <c r="P26" i="7"/>
  <c r="P27" i="7"/>
  <c r="P12" i="7"/>
  <c r="P10" i="7"/>
  <c r="P19" i="7"/>
  <c r="P29" i="7"/>
  <c r="AB8" i="7"/>
  <c r="AF39" i="7" s="1"/>
  <c r="Z30" i="7"/>
  <c r="E26" i="7"/>
  <c r="Z26" i="7"/>
  <c r="AM17" i="7"/>
  <c r="AM16" i="7"/>
  <c r="AI9" i="7"/>
  <c r="AM27" i="7"/>
  <c r="AQ27" i="7" s="1"/>
  <c r="AI11" i="7"/>
  <c r="Z17" i="7"/>
  <c r="AI8" i="7"/>
  <c r="AM13" i="7"/>
  <c r="U33" i="7"/>
  <c r="E12" i="7"/>
  <c r="AM9" i="7"/>
  <c r="AQ24" i="7"/>
  <c r="AQ6" i="7"/>
  <c r="BZ20" i="6"/>
  <c r="BR42" i="6"/>
  <c r="BS42" i="6"/>
  <c r="BS29" i="6"/>
  <c r="BR29" i="6"/>
  <c r="BR17" i="6"/>
  <c r="BS17" i="6"/>
  <c r="BS9" i="6"/>
  <c r="BR9" i="6"/>
  <c r="BS45" i="6"/>
  <c r="BR45" i="6"/>
  <c r="BR41" i="6"/>
  <c r="BS41" i="6"/>
  <c r="BS37" i="6"/>
  <c r="BR37" i="6"/>
  <c r="CK66" i="6"/>
  <c r="BS32" i="6"/>
  <c r="BR32" i="6"/>
  <c r="BS28" i="6"/>
  <c r="BR28" i="6"/>
  <c r="CK58" i="6"/>
  <c r="BS24" i="6"/>
  <c r="BR24" i="6"/>
  <c r="BS20" i="6"/>
  <c r="BR20" i="6"/>
  <c r="BS16" i="6"/>
  <c r="BR16" i="6"/>
  <c r="BS12" i="6"/>
  <c r="BR12" i="6"/>
  <c r="CK42" i="6"/>
  <c r="BS8" i="6"/>
  <c r="BR8" i="6"/>
  <c r="BS4" i="6"/>
  <c r="BR4" i="6"/>
  <c r="BR46" i="6"/>
  <c r="BS46" i="6"/>
  <c r="BR33" i="6"/>
  <c r="BS33" i="6"/>
  <c r="CK59" i="6"/>
  <c r="BS25" i="6"/>
  <c r="BR25" i="6"/>
  <c r="CK47" i="6"/>
  <c r="BS13" i="6"/>
  <c r="BR13" i="6"/>
  <c r="BR5" i="6"/>
  <c r="BS5" i="6"/>
  <c r="BS48" i="6"/>
  <c r="BR48" i="6"/>
  <c r="BS44" i="6"/>
  <c r="BR44" i="6"/>
  <c r="BS40" i="6"/>
  <c r="BR40" i="6"/>
  <c r="BS36" i="6"/>
  <c r="BR36" i="6"/>
  <c r="CK65" i="6"/>
  <c r="BR31" i="6"/>
  <c r="BS31" i="6"/>
  <c r="CK61" i="6"/>
  <c r="BR27" i="6"/>
  <c r="BS27" i="6"/>
  <c r="CK57" i="6"/>
  <c r="BR23" i="6"/>
  <c r="BS23" i="6"/>
  <c r="BR19" i="6"/>
  <c r="BS19" i="6"/>
  <c r="BR15" i="6"/>
  <c r="BS15" i="6"/>
  <c r="CK45" i="6"/>
  <c r="BR11" i="6"/>
  <c r="BS11" i="6"/>
  <c r="BR7" i="6"/>
  <c r="BS7" i="6"/>
  <c r="BR38" i="6"/>
  <c r="BS38" i="6"/>
  <c r="BR21" i="6"/>
  <c r="BS21" i="6"/>
  <c r="BR47" i="6"/>
  <c r="BS47" i="6"/>
  <c r="BR43" i="6"/>
  <c r="BS43" i="6"/>
  <c r="BR39" i="6"/>
  <c r="BS39" i="6"/>
  <c r="BR34" i="6"/>
  <c r="BS34" i="6"/>
  <c r="CK64" i="6"/>
  <c r="BR30" i="6"/>
  <c r="BS30" i="6"/>
  <c r="CK60" i="6"/>
  <c r="BR26" i="6"/>
  <c r="BS26" i="6"/>
  <c r="BR22" i="6"/>
  <c r="BS22" i="6"/>
  <c r="CK52" i="6"/>
  <c r="BR18" i="6"/>
  <c r="BS18" i="6"/>
  <c r="CK48" i="6"/>
  <c r="BR14" i="6"/>
  <c r="BS14" i="6"/>
  <c r="CK44" i="6"/>
  <c r="BR10" i="6"/>
  <c r="BS10" i="6"/>
  <c r="BR6" i="6"/>
  <c r="BS6" i="6"/>
  <c r="EH15" i="4"/>
  <c r="BI10" i="6"/>
  <c r="BI13" i="6" s="1"/>
  <c r="EK11" i="6"/>
  <c r="EH11" i="4"/>
  <c r="CS41" i="4"/>
  <c r="CG93" i="4"/>
  <c r="CG94" i="4" s="1"/>
  <c r="CH46" i="6"/>
  <c r="CN75" i="6"/>
  <c r="CN77" i="6" s="1"/>
  <c r="CD46" i="4"/>
  <c r="CJ74" i="4"/>
  <c r="CJ75" i="4" s="1"/>
  <c r="BH13" i="6"/>
  <c r="BD13" i="4"/>
  <c r="CS7" i="4"/>
  <c r="EH9" i="6"/>
  <c r="CK46" i="6"/>
  <c r="CD16" i="4"/>
  <c r="EE13" i="4"/>
  <c r="H2" i="4"/>
  <c r="CG26" i="4"/>
  <c r="AT61" i="4"/>
  <c r="CG22" i="4"/>
  <c r="EE9" i="4"/>
  <c r="CJ28" i="4"/>
  <c r="BI11" i="4"/>
  <c r="CS73" i="4"/>
  <c r="CS75" i="4" s="1"/>
  <c r="CD17" i="4"/>
  <c r="CJ18" i="4"/>
  <c r="CW39" i="4"/>
  <c r="CY39" i="4" s="1"/>
  <c r="CJ19" i="4"/>
  <c r="CT22" i="6"/>
  <c r="H2" i="6"/>
  <c r="CK26" i="6"/>
  <c r="CK38" i="6"/>
  <c r="AT60" i="4"/>
  <c r="CG21" i="4"/>
  <c r="AT62" i="4"/>
  <c r="CG23" i="4"/>
  <c r="AT59" i="4"/>
  <c r="CG20" i="4"/>
  <c r="CD19" i="4"/>
  <c r="DA7" i="6"/>
  <c r="CW7" i="6"/>
  <c r="AT66" i="4"/>
  <c r="AT65" i="4"/>
  <c r="CH5" i="6"/>
  <c r="CW57" i="6"/>
  <c r="CW63" i="6" s="1"/>
  <c r="CW65" i="6" s="1"/>
  <c r="BI14" i="4"/>
  <c r="CS64" i="4"/>
  <c r="CS4" i="4"/>
  <c r="CS57" i="4"/>
  <c r="CS63" i="4" s="1"/>
  <c r="AX69" i="6"/>
  <c r="AX67" i="6"/>
  <c r="CT47" i="6"/>
  <c r="CT51" i="6" s="1"/>
  <c r="AY82" i="6"/>
  <c r="AY86" i="6" s="1"/>
  <c r="CA65" i="6" s="1"/>
  <c r="CK39" i="6"/>
  <c r="AX64" i="6"/>
  <c r="AX68" i="6"/>
  <c r="AX63" i="6"/>
  <c r="AX65" i="6"/>
  <c r="CK54" i="6"/>
  <c r="DG20" i="6"/>
  <c r="AX66" i="6"/>
  <c r="AX62" i="6"/>
  <c r="DF20" i="6"/>
  <c r="DG15" i="6"/>
  <c r="DF15" i="6"/>
  <c r="DG10" i="6"/>
  <c r="DF10" i="6"/>
  <c r="DD72" i="6"/>
  <c r="CK77" i="6"/>
  <c r="DG6" i="6"/>
  <c r="BF20" i="6"/>
  <c r="DF6" i="6"/>
  <c r="CW12" i="6"/>
  <c r="BZ10" i="6"/>
  <c r="BZ15" i="6"/>
  <c r="BZ5" i="6"/>
  <c r="CQ6" i="6"/>
  <c r="BF29" i="6"/>
  <c r="DI65" i="6"/>
  <c r="BZ6" i="6"/>
  <c r="CH11" i="6"/>
  <c r="CK49" i="6"/>
  <c r="BZ56" i="6"/>
  <c r="CQ58" i="6"/>
  <c r="CH36" i="6"/>
  <c r="DA36" i="6"/>
  <c r="CE12" i="6"/>
  <c r="CN39" i="6"/>
  <c r="CE54" i="6"/>
  <c r="DJ74" i="6"/>
  <c r="DD74" i="6"/>
  <c r="CN43" i="6"/>
  <c r="CE40" i="6"/>
  <c r="BF26" i="6"/>
  <c r="CT9" i="6"/>
  <c r="BD12" i="6"/>
  <c r="BZ60" i="6"/>
  <c r="BZ49" i="6"/>
  <c r="DA59" i="6"/>
  <c r="DA47" i="6"/>
  <c r="CQ47" i="6"/>
  <c r="BZ47" i="6"/>
  <c r="BZ40" i="6"/>
  <c r="EK10" i="6"/>
  <c r="BE39" i="6"/>
  <c r="BE40" i="6" s="1"/>
  <c r="CH31" i="6"/>
  <c r="BM35" i="6"/>
  <c r="DA52" i="6"/>
  <c r="CQ13" i="6"/>
  <c r="CN6" i="6"/>
  <c r="CE13" i="6"/>
  <c r="BZ14" i="6"/>
  <c r="CK62" i="6"/>
  <c r="CE38" i="6"/>
  <c r="DI59" i="6"/>
  <c r="EK7" i="6"/>
  <c r="BF31" i="6"/>
  <c r="BZ58" i="6"/>
  <c r="BZ43" i="6"/>
  <c r="BZ27" i="6"/>
  <c r="BZ36" i="6"/>
  <c r="BZ30" i="6"/>
  <c r="BZ7" i="6"/>
  <c r="BM23" i="6"/>
  <c r="DI57" i="6"/>
  <c r="DA51" i="6"/>
  <c r="AQ18" i="6"/>
  <c r="AJ18" i="6" s="1"/>
  <c r="AQ19" i="6"/>
  <c r="AJ19" i="6" s="1"/>
  <c r="AQ21" i="6"/>
  <c r="AJ21" i="6" s="1"/>
  <c r="AQ26" i="6"/>
  <c r="AJ26" i="6" s="1"/>
  <c r="AQ36" i="6"/>
  <c r="AJ36" i="6" s="1"/>
  <c r="AQ37" i="6"/>
  <c r="AJ37" i="6" s="1"/>
  <c r="BZ50" i="6"/>
  <c r="BZ63" i="6"/>
  <c r="BZ37" i="6"/>
  <c r="CE60" i="6"/>
  <c r="BZ42" i="6"/>
  <c r="BZ18" i="6"/>
  <c r="BZ4" i="6"/>
  <c r="BZ3" i="6"/>
  <c r="CT24" i="6"/>
  <c r="CQ43" i="6"/>
  <c r="BM28" i="6"/>
  <c r="EH40" i="6"/>
  <c r="DI61" i="6"/>
  <c r="CH25" i="6"/>
  <c r="BZ48" i="6"/>
  <c r="BZ59" i="6"/>
  <c r="BZ35" i="6"/>
  <c r="CQ7" i="6"/>
  <c r="BZ61" i="6"/>
  <c r="BZ34" i="6"/>
  <c r="BZ17" i="6"/>
  <c r="BZ11" i="6"/>
  <c r="BZ13" i="6"/>
  <c r="CK68" i="6"/>
  <c r="BZ32" i="6"/>
  <c r="CW50" i="6"/>
  <c r="CH58" i="6"/>
  <c r="CH14" i="6"/>
  <c r="AQ8" i="6"/>
  <c r="AJ8" i="6" s="1"/>
  <c r="AQ17" i="6"/>
  <c r="AJ17" i="6" s="1"/>
  <c r="CE14" i="6"/>
  <c r="EH11" i="6"/>
  <c r="EH34" i="6" s="1"/>
  <c r="CW30" i="6"/>
  <c r="AQ59" i="6"/>
  <c r="AJ59" i="6" s="1"/>
  <c r="BZ65" i="6"/>
  <c r="EK15" i="6"/>
  <c r="EK46" i="6" s="1"/>
  <c r="CH42" i="6"/>
  <c r="EK8" i="6"/>
  <c r="BK4" i="6"/>
  <c r="CE37" i="6"/>
  <c r="CK51" i="6"/>
  <c r="CH7" i="6"/>
  <c r="DA5" i="6"/>
  <c r="DA73" i="6"/>
  <c r="AQ7" i="6"/>
  <c r="AJ7" i="6" s="1"/>
  <c r="AQ27" i="6"/>
  <c r="AJ27" i="6" s="1"/>
  <c r="CW23" i="6"/>
  <c r="CH44" i="6"/>
  <c r="BJ41" i="6"/>
  <c r="BJ43" i="6" s="1"/>
  <c r="BY63" i="6" s="1"/>
  <c r="AQ22" i="6"/>
  <c r="CQ20" i="6"/>
  <c r="CE27" i="6"/>
  <c r="CQ12" i="6"/>
  <c r="AQ5" i="6"/>
  <c r="AJ5" i="6" s="1"/>
  <c r="AQ48" i="6"/>
  <c r="AJ48" i="6" s="1"/>
  <c r="AQ51" i="6"/>
  <c r="AJ51" i="6" s="1"/>
  <c r="CK50" i="6"/>
  <c r="BF30" i="6"/>
  <c r="DF27" i="6"/>
  <c r="BI43" i="6"/>
  <c r="CW8" i="6"/>
  <c r="CQ32" i="6"/>
  <c r="BD17" i="6"/>
  <c r="DA46" i="6"/>
  <c r="AQ11" i="6"/>
  <c r="AJ11" i="6" s="1"/>
  <c r="CK43" i="6"/>
  <c r="DA17" i="6"/>
  <c r="AQ46" i="6"/>
  <c r="AJ46" i="6" s="1"/>
  <c r="AQ47" i="6"/>
  <c r="AJ47" i="6" s="1"/>
  <c r="DA57" i="6"/>
  <c r="CH9" i="6"/>
  <c r="EH15" i="6"/>
  <c r="EH25" i="6"/>
  <c r="CH43" i="6"/>
  <c r="AQ35" i="6"/>
  <c r="AJ35" i="6" s="1"/>
  <c r="AQ49" i="6"/>
  <c r="AJ49" i="6" s="1"/>
  <c r="DA35" i="6"/>
  <c r="CE53" i="6"/>
  <c r="CH10" i="6"/>
  <c r="CH32" i="6"/>
  <c r="DA8" i="6"/>
  <c r="DA27" i="6"/>
  <c r="BF23" i="6"/>
  <c r="AQ52" i="6"/>
  <c r="AJ52" i="6" s="1"/>
  <c r="AX86" i="6"/>
  <c r="AQ39" i="6"/>
  <c r="AJ39" i="6" s="1"/>
  <c r="DA39" i="6"/>
  <c r="CQ33" i="6"/>
  <c r="CQ46" i="6"/>
  <c r="CQ24" i="6"/>
  <c r="CN42" i="6"/>
  <c r="CN8" i="6"/>
  <c r="CN45" i="6"/>
  <c r="DA61" i="6"/>
  <c r="CN10" i="6"/>
  <c r="BN56" i="6"/>
  <c r="CH52" i="6"/>
  <c r="DF34" i="6"/>
  <c r="DF42" i="6"/>
  <c r="DF43" i="6"/>
  <c r="DF44" i="6"/>
  <c r="DF39" i="6"/>
  <c r="DF35" i="6"/>
  <c r="CW49" i="6"/>
  <c r="BF27" i="6"/>
  <c r="CW31" i="6"/>
  <c r="BO49" i="6"/>
  <c r="BM14" i="6"/>
  <c r="BM17" i="6" s="1"/>
  <c r="CW13" i="6"/>
  <c r="CK67" i="6"/>
  <c r="CK63" i="6"/>
  <c r="CK56" i="6"/>
  <c r="CK41" i="6"/>
  <c r="BS3" i="6"/>
  <c r="CK37" i="6"/>
  <c r="DG39" i="6"/>
  <c r="DG9" i="6"/>
  <c r="DG21" i="6"/>
  <c r="BR3" i="6"/>
  <c r="DG22" i="6"/>
  <c r="DG43" i="6"/>
  <c r="DG38" i="6"/>
  <c r="DG54" i="6"/>
  <c r="CH12" i="6"/>
  <c r="DA24" i="6"/>
  <c r="BL6" i="6"/>
  <c r="BU28" i="6" s="1"/>
  <c r="DG73" i="6"/>
  <c r="BM37" i="6"/>
  <c r="DF25" i="6"/>
  <c r="DF24" i="6"/>
  <c r="BI47" i="6"/>
  <c r="DH63" i="6"/>
  <c r="DH61" i="6"/>
  <c r="DH62" i="6"/>
  <c r="DH59" i="6"/>
  <c r="DH57" i="6"/>
  <c r="DH65" i="6"/>
  <c r="AQ61" i="6"/>
  <c r="AJ61" i="6" s="1"/>
  <c r="BA64" i="6"/>
  <c r="BA66" i="6" s="1"/>
  <c r="EK9" i="6"/>
  <c r="DF37" i="6"/>
  <c r="CQ60" i="6"/>
  <c r="CQ21" i="6"/>
  <c r="BF22" i="6"/>
  <c r="DF13" i="6"/>
  <c r="DF19" i="6"/>
  <c r="DF14" i="6"/>
  <c r="DA75" i="6"/>
  <c r="BL4" i="6"/>
  <c r="BU59" i="6" s="1"/>
  <c r="CN52" i="6"/>
  <c r="BE11" i="6"/>
  <c r="EK12" i="6"/>
  <c r="BO48" i="6"/>
  <c r="EK43" i="6"/>
  <c r="BL17" i="6"/>
  <c r="AQ30" i="6"/>
  <c r="AJ30" i="6" s="1"/>
  <c r="AQ23" i="6"/>
  <c r="AJ23" i="6" s="1"/>
  <c r="CT18" i="6"/>
  <c r="CT20" i="6" s="1"/>
  <c r="CN41" i="6"/>
  <c r="AQ62" i="6"/>
  <c r="AJ62" i="6" s="1"/>
  <c r="DA34" i="6"/>
  <c r="AQ65" i="6"/>
  <c r="AJ65" i="6" s="1"/>
  <c r="CH54" i="6"/>
  <c r="CW44" i="6"/>
  <c r="CW41" i="6"/>
  <c r="CW42" i="6" s="1"/>
  <c r="DA64" i="6"/>
  <c r="DA65" i="6"/>
  <c r="AQ4" i="6"/>
  <c r="AJ4" i="6" s="1"/>
  <c r="CT7" i="6"/>
  <c r="CN11" i="6"/>
  <c r="AQ28" i="6"/>
  <c r="AJ28" i="6" s="1"/>
  <c r="BF24" i="6"/>
  <c r="BF32" i="6"/>
  <c r="AQ41" i="6"/>
  <c r="AJ41" i="6" s="1"/>
  <c r="CH38" i="6"/>
  <c r="AQ45" i="6"/>
  <c r="AJ45" i="6" s="1"/>
  <c r="CN46" i="6"/>
  <c r="AQ54" i="6"/>
  <c r="AJ54" i="6" s="1"/>
  <c r="AQ56" i="6"/>
  <c r="AJ56" i="6" s="1"/>
  <c r="AQ57" i="6"/>
  <c r="AJ57" i="6" s="1"/>
  <c r="AQ64" i="6"/>
  <c r="AJ64" i="6" s="1"/>
  <c r="EK34" i="6"/>
  <c r="BL5" i="6"/>
  <c r="BU20" i="6" s="1"/>
  <c r="BL7" i="6"/>
  <c r="BU41" i="6" s="1"/>
  <c r="EH43" i="6"/>
  <c r="CK20" i="6"/>
  <c r="CE55" i="6"/>
  <c r="EK44" i="6"/>
  <c r="AQ34" i="6"/>
  <c r="AJ34" i="6" s="1"/>
  <c r="DA62" i="6"/>
  <c r="CQ64" i="6"/>
  <c r="CW5" i="6"/>
  <c r="AQ55" i="6"/>
  <c r="AJ55" i="6" s="1"/>
  <c r="CQ61" i="6"/>
  <c r="CQ63" i="6"/>
  <c r="DA45" i="6"/>
  <c r="BA43" i="6"/>
  <c r="CT5" i="6"/>
  <c r="AQ25" i="6"/>
  <c r="AJ25" i="6" s="1"/>
  <c r="BF21" i="6"/>
  <c r="BF25" i="6"/>
  <c r="AQ38" i="6"/>
  <c r="AJ38" i="6" s="1"/>
  <c r="CH37" i="6"/>
  <c r="AQ53" i="6"/>
  <c r="AJ53" i="6" s="1"/>
  <c r="CH41" i="6"/>
  <c r="AZ46" i="4"/>
  <c r="AZ51" i="4" s="1"/>
  <c r="CG25" i="4"/>
  <c r="CG24" i="4"/>
  <c r="BN14" i="4"/>
  <c r="BN5" i="4"/>
  <c r="DD35" i="4"/>
  <c r="DD40" i="4"/>
  <c r="BN9" i="4"/>
  <c r="DA40" i="4"/>
  <c r="CA53" i="4"/>
  <c r="CA56" i="4" s="1"/>
  <c r="CZ40" i="4"/>
  <c r="DA35" i="4"/>
  <c r="CA52" i="4"/>
  <c r="CZ35" i="4"/>
  <c r="DC6" i="4"/>
  <c r="DC15" i="4"/>
  <c r="DC24" i="4"/>
  <c r="DC10" i="4"/>
  <c r="DC20" i="4"/>
  <c r="DC23" i="4"/>
  <c r="DA23" i="4"/>
  <c r="DA20" i="4"/>
  <c r="DA24" i="4"/>
  <c r="DA10" i="4"/>
  <c r="DA15" i="4"/>
  <c r="CZ24" i="4"/>
  <c r="CZ23" i="4"/>
  <c r="CZ20" i="4"/>
  <c r="CZ15" i="4"/>
  <c r="CZ10" i="4"/>
  <c r="CX73" i="4"/>
  <c r="CZ6" i="4"/>
  <c r="CG38" i="4"/>
  <c r="DA6" i="4"/>
  <c r="BV57" i="4"/>
  <c r="BV56" i="4"/>
  <c r="BN17" i="4"/>
  <c r="BV67" i="4"/>
  <c r="BV24" i="4"/>
  <c r="BV23" i="4"/>
  <c r="BV22" i="4"/>
  <c r="BV21" i="4"/>
  <c r="BV20" i="4"/>
  <c r="BV19" i="4"/>
  <c r="BV18" i="4"/>
  <c r="BV17" i="4"/>
  <c r="BN20" i="4"/>
  <c r="BN18" i="4"/>
  <c r="BN19" i="4"/>
  <c r="AG35" i="4"/>
  <c r="BV28" i="4"/>
  <c r="AG20" i="4"/>
  <c r="DC62" i="4"/>
  <c r="BV31" i="4"/>
  <c r="AN25" i="4"/>
  <c r="AG25" i="4" s="1"/>
  <c r="AG24" i="4"/>
  <c r="DC30" i="4"/>
  <c r="CJ10" i="4"/>
  <c r="DC26" i="4"/>
  <c r="CV73" i="4"/>
  <c r="CD5" i="4"/>
  <c r="BV36" i="4"/>
  <c r="DC66" i="4"/>
  <c r="CJ35" i="4"/>
  <c r="DC13" i="4"/>
  <c r="CD32" i="4"/>
  <c r="EH10" i="4"/>
  <c r="BV51" i="4"/>
  <c r="BV29" i="4"/>
  <c r="DD41" i="4"/>
  <c r="CJ45" i="4"/>
  <c r="DC33" i="4"/>
  <c r="AN61" i="4"/>
  <c r="AN56" i="4"/>
  <c r="AN52" i="4"/>
  <c r="AN39" i="4"/>
  <c r="AG10" i="4"/>
  <c r="BV37" i="4"/>
  <c r="BV16" i="4"/>
  <c r="DC31" i="4"/>
  <c r="CW52" i="4"/>
  <c r="CY52" i="4" s="1"/>
  <c r="BV6" i="4"/>
  <c r="AN47" i="4"/>
  <c r="AN43" i="4"/>
  <c r="CJ24" i="4"/>
  <c r="CD7" i="4"/>
  <c r="CJ41" i="4"/>
  <c r="CM37" i="4"/>
  <c r="CD53" i="4"/>
  <c r="BE46" i="4"/>
  <c r="AN68" i="4"/>
  <c r="EE45" i="4"/>
  <c r="CM61" i="4"/>
  <c r="BN7" i="4"/>
  <c r="CP22" i="4"/>
  <c r="CJ11" i="4"/>
  <c r="DB75" i="4"/>
  <c r="DB53" i="4" s="1"/>
  <c r="BB24" i="4"/>
  <c r="CW28" i="4"/>
  <c r="CY28" i="4" s="1"/>
  <c r="BI36" i="4"/>
  <c r="AN8" i="4"/>
  <c r="BN15" i="4"/>
  <c r="CM63" i="4"/>
  <c r="AN59" i="4"/>
  <c r="CM36" i="4"/>
  <c r="CW51" i="4"/>
  <c r="CY51" i="4" s="1"/>
  <c r="AN66" i="4"/>
  <c r="CZ5" i="4"/>
  <c r="CM46" i="4"/>
  <c r="CD33" i="4"/>
  <c r="CS49" i="4"/>
  <c r="CJ39" i="4"/>
  <c r="CM50" i="4"/>
  <c r="CW55" i="4"/>
  <c r="CY55" i="4" s="1"/>
  <c r="AN55" i="4"/>
  <c r="AN51" i="4"/>
  <c r="AN38" i="4"/>
  <c r="AN22" i="4"/>
  <c r="AN17" i="4"/>
  <c r="CP23" i="4"/>
  <c r="BJ51" i="4"/>
  <c r="CS50" i="4"/>
  <c r="CS26" i="4"/>
  <c r="CW61" i="4"/>
  <c r="CY61" i="4" s="1"/>
  <c r="CW59" i="4"/>
  <c r="CY59" i="4" s="1"/>
  <c r="AN46" i="4"/>
  <c r="AN21" i="4"/>
  <c r="AN5" i="4"/>
  <c r="CV75" i="4"/>
  <c r="BB21" i="4"/>
  <c r="CW68" i="4"/>
  <c r="CY68" i="4" s="1"/>
  <c r="AN34" i="4"/>
  <c r="CS13" i="4"/>
  <c r="CA12" i="4"/>
  <c r="CD36" i="4"/>
  <c r="CJ54" i="4"/>
  <c r="CJ55" i="4" s="1"/>
  <c r="CW26" i="4"/>
  <c r="CY26" i="4" s="1"/>
  <c r="CP9" i="4"/>
  <c r="AN65" i="4"/>
  <c r="CW57" i="4"/>
  <c r="CY57" i="4" s="1"/>
  <c r="CD50" i="4"/>
  <c r="CM45" i="4"/>
  <c r="EH7" i="4"/>
  <c r="CM62" i="4"/>
  <c r="AN67" i="4"/>
  <c r="AN33" i="4"/>
  <c r="CW34" i="4"/>
  <c r="CY34" i="4" s="1"/>
  <c r="DA51" i="4"/>
  <c r="CM6" i="4"/>
  <c r="CM49" i="4"/>
  <c r="CZ14" i="4"/>
  <c r="CZ42" i="4"/>
  <c r="BV58" i="4"/>
  <c r="BV5" i="4"/>
  <c r="DD56" i="4"/>
  <c r="DC4" i="4"/>
  <c r="DC11" i="4"/>
  <c r="BH6" i="4"/>
  <c r="BQ34" i="4" s="1"/>
  <c r="CX75" i="4"/>
  <c r="AZ41" i="4"/>
  <c r="DD50" i="4"/>
  <c r="BV60" i="4"/>
  <c r="BJ57" i="4"/>
  <c r="BS67" i="4" s="1"/>
  <c r="AN31" i="4"/>
  <c r="AN27" i="4"/>
  <c r="EH22" i="4"/>
  <c r="EH32" i="4" s="1"/>
  <c r="AN14" i="4"/>
  <c r="BB26" i="4"/>
  <c r="CA9" i="4"/>
  <c r="CD11" i="4"/>
  <c r="CW7" i="4"/>
  <c r="CY7" i="4" s="1"/>
  <c r="CW5" i="4"/>
  <c r="CY5" i="4" s="1"/>
  <c r="EH9" i="4"/>
  <c r="BB22" i="4"/>
  <c r="BN3" i="4"/>
  <c r="BV52" i="4"/>
  <c r="BV49" i="4"/>
  <c r="DD48" i="4"/>
  <c r="DD57" i="4"/>
  <c r="DC5" i="4"/>
  <c r="CM60" i="4"/>
  <c r="CJ43" i="4"/>
  <c r="CD28" i="4"/>
  <c r="AW42" i="4"/>
  <c r="AN26" i="4"/>
  <c r="BN4" i="4"/>
  <c r="BB25" i="4"/>
  <c r="BB32" i="4"/>
  <c r="AW65" i="4"/>
  <c r="AW68" i="4" s="1"/>
  <c r="EH8" i="4"/>
  <c r="BN8" i="4"/>
  <c r="BN10" i="4"/>
  <c r="BI23" i="4"/>
  <c r="CZ44" i="4"/>
  <c r="CW69" i="4"/>
  <c r="CY69" i="4" s="1"/>
  <c r="CM38" i="4"/>
  <c r="CD31" i="4"/>
  <c r="AN60" i="4"/>
  <c r="CV76" i="4"/>
  <c r="BH4" i="4"/>
  <c r="BQ68" i="4" s="1"/>
  <c r="DA61" i="4"/>
  <c r="CW37" i="4"/>
  <c r="CY37" i="4" s="1"/>
  <c r="CD35" i="4"/>
  <c r="CW54" i="4"/>
  <c r="CY54" i="4" s="1"/>
  <c r="CM64" i="4"/>
  <c r="CD51" i="4"/>
  <c r="AN9" i="4"/>
  <c r="CS40" i="4"/>
  <c r="BI28" i="4"/>
  <c r="DB73" i="4"/>
  <c r="BG7" i="4"/>
  <c r="CA23" i="4"/>
  <c r="BB31" i="4"/>
  <c r="CW63" i="4"/>
  <c r="CY63" i="4" s="1"/>
  <c r="CM47" i="4"/>
  <c r="CW53" i="4"/>
  <c r="CY53" i="4" s="1"/>
  <c r="CD24" i="4"/>
  <c r="CW36" i="4"/>
  <c r="CY36" i="4" s="1"/>
  <c r="CM43" i="4"/>
  <c r="CS30" i="4"/>
  <c r="BV45" i="4"/>
  <c r="BV3" i="4"/>
  <c r="DC12" i="4"/>
  <c r="DC63" i="4"/>
  <c r="DC65" i="4"/>
  <c r="DC16" i="4"/>
  <c r="DD36" i="4"/>
  <c r="DD53" i="4"/>
  <c r="DC14" i="4"/>
  <c r="DC34" i="4"/>
  <c r="DD52" i="4"/>
  <c r="BV12" i="4"/>
  <c r="BV39" i="4"/>
  <c r="BV9" i="4"/>
  <c r="BV32" i="4"/>
  <c r="BV48" i="4"/>
  <c r="BV66" i="4"/>
  <c r="BV55" i="4"/>
  <c r="CZ18" i="4"/>
  <c r="CD40" i="4"/>
  <c r="CA14" i="4"/>
  <c r="CZ4" i="4"/>
  <c r="BV65" i="4"/>
  <c r="BV4" i="4"/>
  <c r="BV44" i="4"/>
  <c r="BV43" i="4"/>
  <c r="BV8" i="4"/>
  <c r="DD44" i="4"/>
  <c r="DC19" i="4"/>
  <c r="DD49" i="4"/>
  <c r="DC27" i="4"/>
  <c r="DC69" i="4"/>
  <c r="DC3" i="4"/>
  <c r="CW60" i="4"/>
  <c r="CY60" i="4" s="1"/>
  <c r="BA40" i="4"/>
  <c r="BA41" i="4" s="1"/>
  <c r="CS31" i="4"/>
  <c r="CD34" i="4"/>
  <c r="CD52" i="4"/>
  <c r="CM59" i="4"/>
  <c r="CD38" i="4"/>
  <c r="BI57" i="4"/>
  <c r="CZ31" i="4"/>
  <c r="CS44" i="4"/>
  <c r="EE44" i="4"/>
  <c r="DD51" i="4"/>
  <c r="BV26" i="4"/>
  <c r="AN63" i="4"/>
  <c r="AN54" i="4"/>
  <c r="AN50" i="4"/>
  <c r="AN42" i="4"/>
  <c r="AN37" i="4"/>
  <c r="BO3" i="4"/>
  <c r="CA22" i="4"/>
  <c r="CZ41" i="4"/>
  <c r="CP8" i="4"/>
  <c r="CJ42" i="4"/>
  <c r="CM33" i="4"/>
  <c r="CD15" i="4"/>
  <c r="CW29" i="4"/>
  <c r="CY29" i="4" s="1"/>
  <c r="AN3" i="4"/>
  <c r="AG3" i="4" s="1"/>
  <c r="EH12" i="4"/>
  <c r="BN16" i="4"/>
  <c r="BB23" i="4"/>
  <c r="BV61" i="4"/>
  <c r="BV62" i="4"/>
  <c r="BV40" i="4"/>
  <c r="BV13" i="4"/>
  <c r="BV33" i="4"/>
  <c r="DD60" i="4"/>
  <c r="DD39" i="4"/>
  <c r="DC9" i="4"/>
  <c r="DD45" i="4"/>
  <c r="DC21" i="4"/>
  <c r="DC61" i="4"/>
  <c r="EE25" i="4"/>
  <c r="CM35" i="4"/>
  <c r="CJ8" i="4"/>
  <c r="BV69" i="4"/>
  <c r="AN62" i="4"/>
  <c r="CW27" i="4"/>
  <c r="CY27" i="4" s="1"/>
  <c r="AN57" i="4"/>
  <c r="CD37" i="4"/>
  <c r="CM51" i="4"/>
  <c r="CW62" i="4"/>
  <c r="CY62" i="4" s="1"/>
  <c r="DC32" i="4"/>
  <c r="BV42" i="4"/>
  <c r="AY52" i="4"/>
  <c r="BK51" i="4"/>
  <c r="BT63" i="4" s="1"/>
  <c r="BE43" i="4"/>
  <c r="AN45" i="4"/>
  <c r="AN41" i="4"/>
  <c r="AN36" i="4"/>
  <c r="AN29" i="4"/>
  <c r="BB30" i="4"/>
  <c r="BI35" i="4"/>
  <c r="CZ30" i="4"/>
  <c r="BI24" i="4"/>
  <c r="CA37" i="4"/>
  <c r="CZ75" i="4"/>
  <c r="DB25" i="4" s="1"/>
  <c r="CD41" i="4"/>
  <c r="BB29" i="4"/>
  <c r="CP7" i="4"/>
  <c r="CM32" i="4"/>
  <c r="CW38" i="4"/>
  <c r="CY38" i="4" s="1"/>
  <c r="CD18" i="4"/>
  <c r="BH7" i="4"/>
  <c r="AN69" i="4"/>
  <c r="AN28" i="4"/>
  <c r="AN7" i="4"/>
  <c r="CS8" i="4"/>
  <c r="CD9" i="4"/>
  <c r="AN12" i="4"/>
  <c r="AN4" i="4"/>
  <c r="CS5" i="4"/>
  <c r="CH55" i="6"/>
  <c r="CW27" i="6"/>
  <c r="BN51" i="6"/>
  <c r="BH51" i="6"/>
  <c r="EK42" i="6"/>
  <c r="DF30" i="6"/>
  <c r="DF23" i="6"/>
  <c r="CH51" i="6"/>
  <c r="BL39" i="6"/>
  <c r="DF32" i="6"/>
  <c r="DF26" i="6"/>
  <c r="EH35" i="6"/>
  <c r="DF28" i="6"/>
  <c r="DF31" i="6"/>
  <c r="DF29" i="6"/>
  <c r="DF53" i="6"/>
  <c r="DF56" i="6"/>
  <c r="DF40" i="6"/>
  <c r="DF54" i="6"/>
  <c r="DF47" i="6"/>
  <c r="DF55" i="6"/>
  <c r="DF49" i="6"/>
  <c r="DF52" i="6"/>
  <c r="DF36" i="6"/>
  <c r="DF46" i="6"/>
  <c r="DF50" i="6"/>
  <c r="BL31" i="6"/>
  <c r="CH48" i="6"/>
  <c r="DF45" i="6"/>
  <c r="DF48" i="6"/>
  <c r="DF41" i="6"/>
  <c r="DF51" i="6"/>
  <c r="DF38" i="6"/>
  <c r="EH14" i="6"/>
  <c r="EH10" i="6"/>
  <c r="DD73" i="6"/>
  <c r="DJ73" i="6"/>
  <c r="CH40" i="6"/>
  <c r="BK6" i="6"/>
  <c r="BK5" i="6"/>
  <c r="EH33" i="6"/>
  <c r="EK45" i="6"/>
  <c r="DF9" i="6"/>
  <c r="DF8" i="6"/>
  <c r="CE33" i="6"/>
  <c r="DF12" i="6"/>
  <c r="DF22" i="6"/>
  <c r="DF17" i="6"/>
  <c r="DF4" i="6"/>
  <c r="BD33" i="6"/>
  <c r="DF21" i="6"/>
  <c r="DF16" i="6"/>
  <c r="DF3" i="6"/>
  <c r="DF5" i="6"/>
  <c r="DF18" i="6"/>
  <c r="CE22" i="6"/>
  <c r="CE24" i="6" s="1"/>
  <c r="CE32" i="6"/>
  <c r="CE35" i="6" s="1"/>
  <c r="DF11" i="6"/>
  <c r="DF7" i="6"/>
  <c r="CE6" i="6"/>
  <c r="CE9" i="6" s="1"/>
  <c r="BZ54" i="6"/>
  <c r="BZ46" i="6"/>
  <c r="BZ55" i="6"/>
  <c r="BZ41" i="6"/>
  <c r="BZ33" i="6"/>
  <c r="BZ25" i="6"/>
  <c r="BZ53" i="6"/>
  <c r="BZ28" i="6"/>
  <c r="BZ26" i="6"/>
  <c r="BZ23" i="6"/>
  <c r="BZ12" i="6"/>
  <c r="BZ24" i="6"/>
  <c r="BZ19" i="6"/>
  <c r="BZ64" i="6"/>
  <c r="DI62" i="6"/>
  <c r="DI63" i="6"/>
  <c r="BZ62" i="6"/>
  <c r="BZ52" i="6"/>
  <c r="BZ44" i="6"/>
  <c r="BZ51" i="6"/>
  <c r="BZ39" i="6"/>
  <c r="BZ31" i="6"/>
  <c r="BZ45" i="6"/>
  <c r="BZ57" i="6"/>
  <c r="BZ21" i="6"/>
  <c r="BZ38" i="6"/>
  <c r="BZ9" i="6"/>
  <c r="BZ16" i="6"/>
  <c r="BZ8" i="6"/>
  <c r="BZ22" i="6"/>
  <c r="EH44" i="6"/>
  <c r="DI64" i="6"/>
  <c r="CH50" i="6"/>
  <c r="DG63" i="6"/>
  <c r="DG50" i="6"/>
  <c r="DG34" i="6"/>
  <c r="DG16" i="6"/>
  <c r="DG37" i="6"/>
  <c r="DG57" i="6"/>
  <c r="DG26" i="6"/>
  <c r="CK40" i="6"/>
  <c r="DG56" i="6"/>
  <c r="DG46" i="6"/>
  <c r="DG29" i="6"/>
  <c r="DG11" i="6"/>
  <c r="DG64" i="6"/>
  <c r="DG62" i="6"/>
  <c r="DG28" i="6"/>
  <c r="CK78" i="6"/>
  <c r="DG42" i="6"/>
  <c r="DG25" i="6"/>
  <c r="DG5" i="6"/>
  <c r="DG45" i="6"/>
  <c r="DG55" i="6"/>
  <c r="DG19" i="6"/>
  <c r="DG17" i="6"/>
  <c r="CN27" i="6"/>
  <c r="CN28" i="6" s="1"/>
  <c r="CN29" i="6" s="1"/>
  <c r="CW4" i="6"/>
  <c r="AQ42" i="6"/>
  <c r="AJ42" i="6" s="1"/>
  <c r="DA3" i="6"/>
  <c r="AQ32" i="6"/>
  <c r="AJ32" i="6" s="1"/>
  <c r="AQ33" i="6"/>
  <c r="AJ33" i="6" s="1"/>
  <c r="AQ3" i="6"/>
  <c r="AJ3" i="6" s="1"/>
  <c r="CH34" i="6"/>
  <c r="AQ9" i="6"/>
  <c r="AJ9" i="6" s="1"/>
  <c r="CW9" i="6"/>
  <c r="CH6" i="6"/>
  <c r="AQ24" i="6"/>
  <c r="AJ24" i="6" s="1"/>
  <c r="AQ14" i="6"/>
  <c r="AJ14" i="6" s="1"/>
  <c r="CN19" i="6"/>
  <c r="CN20" i="6" s="1"/>
  <c r="CN21" i="6" s="1"/>
  <c r="CQ49" i="6"/>
  <c r="CQ59" i="6"/>
  <c r="AQ40" i="6"/>
  <c r="AJ40" i="6" s="1"/>
  <c r="DA49" i="6"/>
  <c r="CT8" i="6"/>
  <c r="AQ58" i="6"/>
  <c r="AJ58" i="6" s="1"/>
  <c r="EH43" i="4"/>
  <c r="CS23" i="4"/>
  <c r="CD55" i="4"/>
  <c r="CS27" i="4"/>
  <c r="CM30" i="4"/>
  <c r="BE50" i="4"/>
  <c r="CM56" i="4"/>
  <c r="CD54" i="4"/>
  <c r="CP5" i="4"/>
  <c r="CZ25" i="4"/>
  <c r="CZ33" i="4"/>
  <c r="CZ32" i="4"/>
  <c r="CZ27" i="4"/>
  <c r="CZ26" i="4"/>
  <c r="CZ34" i="4"/>
  <c r="BH39" i="4"/>
  <c r="CZ29" i="4"/>
  <c r="CZ28" i="4"/>
  <c r="CA61" i="4"/>
  <c r="EE35" i="4"/>
  <c r="CZ50" i="4"/>
  <c r="BH31" i="4"/>
  <c r="CZ48" i="4"/>
  <c r="CM7" i="4"/>
  <c r="CA38" i="4"/>
  <c r="CA13" i="4"/>
  <c r="BI25" i="4"/>
  <c r="BI27" i="4"/>
  <c r="CZ49" i="4"/>
  <c r="CZ51" i="4"/>
  <c r="CZ56" i="4"/>
  <c r="CA40" i="4"/>
  <c r="CZ58" i="4"/>
  <c r="CD44" i="4"/>
  <c r="BH17" i="4"/>
  <c r="EE14" i="4"/>
  <c r="EE23" i="4"/>
  <c r="BG6" i="4"/>
  <c r="CJ16" i="4"/>
  <c r="EE33" i="4"/>
  <c r="CS45" i="4"/>
  <c r="CZ16" i="4"/>
  <c r="CZ13" i="4"/>
  <c r="CA21" i="4"/>
  <c r="EE12" i="4"/>
  <c r="CZ21" i="4"/>
  <c r="CZ19" i="4"/>
  <c r="CZ3" i="4"/>
  <c r="AZ33" i="4"/>
  <c r="CA33" i="4"/>
  <c r="CA35" i="4" s="1"/>
  <c r="CZ11" i="4"/>
  <c r="CZ22" i="4"/>
  <c r="CZ17" i="4"/>
  <c r="CZ7" i="4"/>
  <c r="CZ9" i="4"/>
  <c r="CZ12" i="4"/>
  <c r="BB20" i="4"/>
  <c r="CZ8" i="4"/>
  <c r="BB27" i="4"/>
  <c r="AZ12" i="4"/>
  <c r="BA11" i="4"/>
  <c r="EE15" i="4"/>
  <c r="DA27" i="4"/>
  <c r="DA60" i="4"/>
  <c r="DA62" i="4"/>
  <c r="DA3" i="4"/>
  <c r="EE7" i="4"/>
  <c r="EE32" i="4" s="1"/>
  <c r="EE42" i="4" s="1"/>
  <c r="DA22" i="4"/>
  <c r="DA47" i="4"/>
  <c r="BN12" i="4"/>
  <c r="DA41" i="4"/>
  <c r="DA67" i="4"/>
  <c r="DA36" i="4"/>
  <c r="CJ9" i="4"/>
  <c r="CM25" i="4"/>
  <c r="CM26" i="4" s="1"/>
  <c r="CS9" i="4"/>
  <c r="AN53" i="4"/>
  <c r="CW3" i="4"/>
  <c r="CY3" i="4" s="1"/>
  <c r="AN49" i="4"/>
  <c r="AN64" i="4"/>
  <c r="CJ44" i="4"/>
  <c r="CD10" i="4"/>
  <c r="CW42" i="4"/>
  <c r="CY42" i="4" s="1"/>
  <c r="CD6" i="4"/>
  <c r="CM48" i="4"/>
  <c r="CM11" i="4"/>
  <c r="CD27" i="4"/>
  <c r="AN18" i="4"/>
  <c r="AN13" i="4"/>
  <c r="DA52" i="4"/>
  <c r="DA13" i="4"/>
  <c r="DA58" i="4"/>
  <c r="DA26" i="4"/>
  <c r="DA21" i="4"/>
  <c r="DA45" i="4"/>
  <c r="DA25" i="4"/>
  <c r="DA59" i="4"/>
  <c r="DA48" i="4"/>
  <c r="DA32" i="4"/>
  <c r="DA66" i="4"/>
  <c r="DA16" i="4"/>
  <c r="DA18" i="4"/>
  <c r="DA69" i="4"/>
  <c r="DA49" i="4"/>
  <c r="DA17" i="4"/>
  <c r="DA56" i="4"/>
  <c r="DA8" i="4"/>
  <c r="DA19" i="4"/>
  <c r="DA30" i="4"/>
  <c r="DA57" i="4"/>
  <c r="DA63" i="4"/>
  <c r="AR57" i="4"/>
  <c r="DA33" i="4"/>
  <c r="DA14" i="4"/>
  <c r="DA65" i="4"/>
  <c r="DA42" i="4"/>
  <c r="DA53" i="4"/>
  <c r="DA38" i="4"/>
  <c r="DA28" i="4"/>
  <c r="DA64" i="4"/>
  <c r="DA54" i="4"/>
  <c r="DA4" i="4"/>
  <c r="DA9" i="4"/>
  <c r="DA11" i="4"/>
  <c r="DA5" i="4"/>
  <c r="DA39" i="4"/>
  <c r="DA7" i="4"/>
  <c r="DA43" i="4"/>
  <c r="DA34" i="4"/>
  <c r="DA12" i="4"/>
  <c r="DA50" i="4"/>
  <c r="DA31" i="4"/>
  <c r="DA68" i="4"/>
  <c r="DA55" i="4"/>
  <c r="DA46" i="4"/>
  <c r="DA29" i="4"/>
  <c r="DA37" i="4"/>
  <c r="DA44" i="4"/>
  <c r="AN19" i="4"/>
  <c r="EH45" i="4"/>
  <c r="DB64" i="4"/>
  <c r="DB69" i="4"/>
  <c r="DB63" i="4"/>
  <c r="CM21" i="4"/>
  <c r="CM22" i="4" s="1"/>
  <c r="BE47" i="4"/>
  <c r="DB68" i="4"/>
  <c r="CS22" i="4"/>
  <c r="DB61" i="4"/>
  <c r="BD51" i="4"/>
  <c r="DB67" i="4"/>
  <c r="DB62" i="4"/>
  <c r="EH42" i="4"/>
  <c r="CX74" i="4"/>
  <c r="BH5" i="4"/>
  <c r="BG5" i="4"/>
  <c r="BN13" i="4"/>
  <c r="CW11" i="4"/>
  <c r="CY11" i="4" s="1"/>
  <c r="AN11" i="4"/>
  <c r="CP39" i="4"/>
  <c r="CA39" i="4"/>
  <c r="BI26" i="4"/>
  <c r="CZ55" i="4"/>
  <c r="CZ38" i="4"/>
  <c r="CZ39" i="4"/>
  <c r="CZ43" i="4"/>
  <c r="CZ52" i="4"/>
  <c r="CZ36" i="4"/>
  <c r="CZ53" i="4"/>
  <c r="CZ46" i="4"/>
  <c r="CA59" i="4"/>
  <c r="CZ59" i="4"/>
  <c r="CZ45" i="4"/>
  <c r="CZ37" i="4"/>
  <c r="CZ54" i="4"/>
  <c r="CW58" i="4"/>
  <c r="CY58" i="4" s="1"/>
  <c r="AN58" i="4"/>
  <c r="CM13" i="4"/>
  <c r="CD29" i="4"/>
  <c r="DJ72" i="6"/>
  <c r="BK7" i="6"/>
  <c r="EH23" i="6"/>
  <c r="DA16" i="6"/>
  <c r="AQ16" i="6"/>
  <c r="AJ16" i="6" s="1"/>
  <c r="AZ30" i="7"/>
  <c r="BA30" i="7" s="1"/>
  <c r="AZ22" i="7"/>
  <c r="BA22" i="7" s="1"/>
  <c r="AZ8" i="7"/>
  <c r="BA8" i="7" s="1"/>
  <c r="CZ57" i="4"/>
  <c r="CZ60" i="4"/>
  <c r="CD48" i="4"/>
  <c r="CZ47" i="4"/>
  <c r="EE10" i="4"/>
  <c r="DB66" i="4"/>
  <c r="AN30" i="4"/>
  <c r="CW30" i="4"/>
  <c r="CY30" i="4" s="1"/>
  <c r="BV59" i="4"/>
  <c r="BV68" i="4"/>
  <c r="BV50" i="4"/>
  <c r="BV34" i="4"/>
  <c r="BV11" i="4"/>
  <c r="BV41" i="4"/>
  <c r="BV14" i="4"/>
  <c r="DD58" i="4"/>
  <c r="DD42" i="4"/>
  <c r="DC22" i="4"/>
  <c r="DD59" i="4"/>
  <c r="DD43" i="4"/>
  <c r="DC25" i="4"/>
  <c r="DC64" i="4"/>
  <c r="EE11" i="4"/>
  <c r="BV53" i="4"/>
  <c r="BV64" i="4"/>
  <c r="BV46" i="4"/>
  <c r="BV30" i="4"/>
  <c r="BV7" i="4"/>
  <c r="BV35" i="4"/>
  <c r="BV10" i="4"/>
  <c r="DD54" i="4"/>
  <c r="DD37" i="4"/>
  <c r="DC17" i="4"/>
  <c r="DD55" i="4"/>
  <c r="DD38" i="4"/>
  <c r="DC18" i="4"/>
  <c r="DC67" i="4"/>
  <c r="BV63" i="4"/>
  <c r="BV25" i="4"/>
  <c r="BV54" i="4"/>
  <c r="BV38" i="4"/>
  <c r="BV15" i="4"/>
  <c r="BV47" i="4"/>
  <c r="BV27" i="4"/>
  <c r="DD46" i="4"/>
  <c r="DC28" i="4"/>
  <c r="DC7" i="4"/>
  <c r="DD47" i="4"/>
  <c r="DC29" i="4"/>
  <c r="DC8" i="4"/>
  <c r="DC68" i="4"/>
  <c r="EE40" i="4"/>
  <c r="CD58" i="4"/>
  <c r="AZ17" i="4"/>
  <c r="AQ44" i="6"/>
  <c r="AJ44" i="6" s="1"/>
  <c r="DA44" i="6"/>
  <c r="CQ11" i="6"/>
  <c r="CH27" i="6"/>
  <c r="AQ50" i="6"/>
  <c r="AJ50" i="6" s="1"/>
  <c r="DA50" i="6"/>
  <c r="BM57" i="6"/>
  <c r="EH45" i="6"/>
  <c r="BN55" i="6"/>
  <c r="AN44" i="4"/>
  <c r="CW44" i="4"/>
  <c r="CY44" i="4" s="1"/>
  <c r="EE43" i="4"/>
  <c r="CJ33" i="4"/>
  <c r="BG4" i="4"/>
  <c r="CV74" i="4"/>
  <c r="CD42" i="4"/>
  <c r="DA29" i="6"/>
  <c r="AQ29" i="6"/>
  <c r="AZ12" i="7"/>
  <c r="BA12" i="7" s="1"/>
  <c r="AZ13" i="7"/>
  <c r="BA13" i="7" s="1"/>
  <c r="CE59" i="6"/>
  <c r="BM26" i="6"/>
  <c r="CE39" i="6"/>
  <c r="EH44" i="4"/>
  <c r="BF42" i="4"/>
  <c r="BF43" i="4" s="1"/>
  <c r="AN16" i="4"/>
  <c r="CS12" i="4"/>
  <c r="AN48" i="4"/>
  <c r="CW48" i="4"/>
  <c r="CY48" i="4" s="1"/>
  <c r="CW41" i="4"/>
  <c r="CY41" i="4" s="1"/>
  <c r="CD20" i="4"/>
  <c r="AN32" i="4"/>
  <c r="CH30" i="6"/>
  <c r="BD40" i="6"/>
  <c r="EK22" i="6"/>
  <c r="EK32" i="6" s="1"/>
  <c r="AQ60" i="6"/>
  <c r="AQ63" i="6"/>
  <c r="AJ63" i="6" s="1"/>
  <c r="AU12" i="7"/>
  <c r="AY15" i="7"/>
  <c r="AZ15" i="7" s="1"/>
  <c r="BA15" i="7" s="1"/>
  <c r="E15" i="7"/>
  <c r="AZ26" i="7"/>
  <c r="BA26" i="7" s="1"/>
  <c r="AI25" i="7"/>
  <c r="AE25" i="7"/>
  <c r="O29" i="7"/>
  <c r="O27" i="7"/>
  <c r="O26" i="7"/>
  <c r="O7" i="7"/>
  <c r="O17" i="7"/>
  <c r="O6" i="7"/>
  <c r="AU17" i="7"/>
  <c r="O30" i="7"/>
  <c r="O20" i="7"/>
  <c r="O9" i="7"/>
  <c r="AU8" i="7"/>
  <c r="AE16" i="7"/>
  <c r="CW45" i="6"/>
  <c r="DG74" i="6"/>
  <c r="CQ30" i="6"/>
  <c r="CW26" i="6"/>
  <c r="BI49" i="6"/>
  <c r="CK55" i="6"/>
  <c r="AQ13" i="6"/>
  <c r="AJ13" i="6" s="1"/>
  <c r="DA13" i="6"/>
  <c r="DA25" i="6"/>
  <c r="CH13" i="6"/>
  <c r="AQ43" i="6"/>
  <c r="DA43" i="6"/>
  <c r="CW22" i="6"/>
  <c r="CQ56" i="6"/>
  <c r="AZ10" i="7"/>
  <c r="BA10" i="7" s="1"/>
  <c r="AZ19" i="7"/>
  <c r="BA19" i="7" s="1"/>
  <c r="AZ17" i="7"/>
  <c r="BA17" i="7" s="1"/>
  <c r="AB18" i="7"/>
  <c r="AI20" i="7"/>
  <c r="AU7" i="7"/>
  <c r="AQ31" i="6"/>
  <c r="AJ31" i="6" s="1"/>
  <c r="DA31" i="6"/>
  <c r="CN44" i="6"/>
  <c r="CQ25" i="6"/>
  <c r="CN9" i="6"/>
  <c r="CQ48" i="6"/>
  <c r="CQ37" i="6"/>
  <c r="CN54" i="6"/>
  <c r="CN35" i="6"/>
  <c r="CN36" i="6" s="1"/>
  <c r="CQ50" i="6"/>
  <c r="DA63" i="6"/>
  <c r="AZ28" i="7"/>
  <c r="BA28" i="7" s="1"/>
  <c r="AZ24" i="7"/>
  <c r="BA24" i="7" s="1"/>
  <c r="CK53" i="6"/>
  <c r="AZ18" i="7"/>
  <c r="BA18" i="7" s="1"/>
  <c r="AZ11" i="7"/>
  <c r="BA11" i="7" s="1"/>
  <c r="AZ25" i="7"/>
  <c r="BA25" i="7" s="1"/>
  <c r="DA14" i="6"/>
  <c r="AI12" i="7"/>
  <c r="AM21" i="7"/>
  <c r="AM15" i="7"/>
  <c r="AZ14" i="7"/>
  <c r="BA14" i="7" s="1"/>
  <c r="BE10" i="6"/>
  <c r="DA19" i="6"/>
  <c r="CN63" i="6"/>
  <c r="CN64" i="6" s="1"/>
  <c r="CP19" i="4"/>
  <c r="CJ61" i="4"/>
  <c r="CP18" i="4"/>
  <c r="CJ60" i="4"/>
  <c r="BA10" i="4"/>
  <c r="AQ12" i="6"/>
  <c r="DG3" i="6"/>
  <c r="DG35" i="6"/>
  <c r="AU55" i="6"/>
  <c r="DG47" i="6"/>
  <c r="DG7" i="6"/>
  <c r="DG41" i="6"/>
  <c r="DG12" i="6"/>
  <c r="DG30" i="6"/>
  <c r="DG4" i="6"/>
  <c r="DG14" i="6"/>
  <c r="DG24" i="6"/>
  <c r="DG32" i="6"/>
  <c r="DG49" i="6"/>
  <c r="DG51" i="6"/>
  <c r="DG53" i="6"/>
  <c r="EH7" i="6"/>
  <c r="DG8" i="6"/>
  <c r="DG13" i="6"/>
  <c r="DG18" i="6"/>
  <c r="DG23" i="6"/>
  <c r="DG27" i="6"/>
  <c r="DG31" i="6"/>
  <c r="DG36" i="6"/>
  <c r="DG40" i="6"/>
  <c r="DG44" i="6"/>
  <c r="DG48" i="6"/>
  <c r="DG52" i="6"/>
  <c r="DG59" i="6"/>
  <c r="DG65" i="6"/>
  <c r="DG61" i="6"/>
  <c r="CK35" i="6" l="1"/>
  <c r="CK73" i="6"/>
  <c r="AI27" i="7"/>
  <c r="AI30" i="7" s="1"/>
  <c r="AQ14" i="7"/>
  <c r="AQ34" i="7" s="1"/>
  <c r="AU14" i="7"/>
  <c r="AX77" i="6"/>
  <c r="CB22" i="6" s="1"/>
  <c r="CG35" i="4"/>
  <c r="EH12" i="6"/>
  <c r="F15" i="7"/>
  <c r="F27" i="7"/>
  <c r="AH39" i="7"/>
  <c r="AY16" i="7" s="1"/>
  <c r="AZ16" i="7" s="1"/>
  <c r="BA16" i="7" s="1"/>
  <c r="F16" i="7" s="1"/>
  <c r="F21" i="7"/>
  <c r="AE36" i="7"/>
  <c r="F12" i="7"/>
  <c r="F24" i="7"/>
  <c r="AY6" i="7"/>
  <c r="AZ6" i="7" s="1"/>
  <c r="BA6" i="7" s="1"/>
  <c r="F6" i="7" s="1"/>
  <c r="F23" i="7"/>
  <c r="F19" i="7"/>
  <c r="F13" i="7"/>
  <c r="Z6" i="7"/>
  <c r="E6" i="7" s="1"/>
  <c r="AU9" i="7"/>
  <c r="F30" i="7"/>
  <c r="F10" i="7"/>
  <c r="AM22" i="7"/>
  <c r="AQ26" i="7" s="1"/>
  <c r="AQ28" i="7" s="1"/>
  <c r="AI17" i="7"/>
  <c r="AI29" i="7" s="1"/>
  <c r="BR55" i="6"/>
  <c r="BR60" i="6" s="1"/>
  <c r="BT20" i="6" s="1"/>
  <c r="BS55" i="6"/>
  <c r="BS60" i="6" s="1"/>
  <c r="BT59" i="6" s="1"/>
  <c r="CS42" i="4"/>
  <c r="BW69" i="4"/>
  <c r="BW65" i="4"/>
  <c r="BW61" i="4"/>
  <c r="BW68" i="4"/>
  <c r="BW64" i="4"/>
  <c r="BW67" i="4"/>
  <c r="BW63" i="4"/>
  <c r="BW66" i="4"/>
  <c r="BW62" i="4"/>
  <c r="CG87" i="4"/>
  <c r="CG89" i="4" s="1"/>
  <c r="CT25" i="6"/>
  <c r="CT27" i="6" s="1"/>
  <c r="CA15" i="6"/>
  <c r="CA36" i="6"/>
  <c r="CA14" i="6"/>
  <c r="CA35" i="6"/>
  <c r="CA56" i="6"/>
  <c r="CA34" i="6"/>
  <c r="CA55" i="6"/>
  <c r="CA17" i="6"/>
  <c r="CA54" i="6"/>
  <c r="CA16" i="6"/>
  <c r="CA37" i="6"/>
  <c r="DE8" i="6"/>
  <c r="DE25" i="6"/>
  <c r="DE47" i="6"/>
  <c r="DE43" i="6"/>
  <c r="DE45" i="6"/>
  <c r="DE61" i="6"/>
  <c r="EH46" i="4"/>
  <c r="CA18" i="6"/>
  <c r="CA62" i="6"/>
  <c r="CA39" i="6"/>
  <c r="CA63" i="6"/>
  <c r="CA20" i="6"/>
  <c r="CA41" i="6"/>
  <c r="CA22" i="6"/>
  <c r="CA46" i="6"/>
  <c r="CA3" i="6"/>
  <c r="CA23" i="6"/>
  <c r="CA47" i="6"/>
  <c r="CA4" i="6"/>
  <c r="CA24" i="6"/>
  <c r="CA48" i="6"/>
  <c r="CA5" i="6"/>
  <c r="CA25" i="6"/>
  <c r="CA49" i="6"/>
  <c r="CA38" i="6"/>
  <c r="CA19" i="6"/>
  <c r="CA40" i="6"/>
  <c r="CA64" i="6"/>
  <c r="CA21" i="6"/>
  <c r="CA6" i="6"/>
  <c r="CA30" i="6"/>
  <c r="CA50" i="6"/>
  <c r="CA7" i="6"/>
  <c r="CA31" i="6"/>
  <c r="CA51" i="6"/>
  <c r="CA8" i="6"/>
  <c r="CA32" i="6"/>
  <c r="CA52" i="6"/>
  <c r="CA9" i="6"/>
  <c r="CA33" i="6"/>
  <c r="CA53" i="6"/>
  <c r="BI17" i="4"/>
  <c r="BS24" i="4" s="1"/>
  <c r="CJ20" i="4"/>
  <c r="CJ21" i="4" s="1"/>
  <c r="AN73" i="4"/>
  <c r="EH25" i="4" s="1"/>
  <c r="CE15" i="6"/>
  <c r="CE17" i="6" s="1"/>
  <c r="CQ8" i="6"/>
  <c r="DI38" i="6" s="1"/>
  <c r="AT75" i="4"/>
  <c r="BX24" i="4" s="1"/>
  <c r="DB6" i="4"/>
  <c r="DD6" i="4" s="1"/>
  <c r="DE6" i="4" s="1"/>
  <c r="DF6" i="4" s="1"/>
  <c r="CW14" i="6"/>
  <c r="CS65" i="4"/>
  <c r="AJ22" i="6"/>
  <c r="DH15" i="6"/>
  <c r="DH20" i="6"/>
  <c r="DJ20" i="6" s="1"/>
  <c r="DK20" i="6" s="1"/>
  <c r="DL20" i="6" s="1"/>
  <c r="CA10" i="6"/>
  <c r="CA26" i="6"/>
  <c r="CA42" i="6"/>
  <c r="CA58" i="6"/>
  <c r="CA11" i="6"/>
  <c r="CA27" i="6"/>
  <c r="CA43" i="6"/>
  <c r="CA59" i="6"/>
  <c r="CA12" i="6"/>
  <c r="CA28" i="6"/>
  <c r="CA44" i="6"/>
  <c r="CA60" i="6"/>
  <c r="CA13" i="6"/>
  <c r="CA29" i="6"/>
  <c r="CA45" i="6"/>
  <c r="DB40" i="4"/>
  <c r="CA57" i="6"/>
  <c r="CA61" i="6"/>
  <c r="DD10" i="6"/>
  <c r="DE10" i="6" s="1"/>
  <c r="DD15" i="6"/>
  <c r="DE15" i="6" s="1"/>
  <c r="DH6" i="6"/>
  <c r="DH10" i="6"/>
  <c r="DD34" i="6"/>
  <c r="DE34" i="6" s="1"/>
  <c r="DD6" i="6"/>
  <c r="DE6" i="6" s="1"/>
  <c r="BX15" i="6"/>
  <c r="BX20" i="6"/>
  <c r="BW15" i="6"/>
  <c r="BW20" i="6"/>
  <c r="BU10" i="6"/>
  <c r="BU15" i="6"/>
  <c r="BU11" i="6"/>
  <c r="BW6" i="6"/>
  <c r="BW10" i="6"/>
  <c r="BX6" i="6"/>
  <c r="BX10" i="6"/>
  <c r="EH24" i="6"/>
  <c r="DD3" i="6"/>
  <c r="DE3" i="6" s="1"/>
  <c r="BU13" i="6"/>
  <c r="BU6" i="6"/>
  <c r="CW24" i="6"/>
  <c r="CE62" i="6"/>
  <c r="DH17" i="6"/>
  <c r="EH39" i="6"/>
  <c r="BU42" i="6"/>
  <c r="DH44" i="6"/>
  <c r="BM39" i="6"/>
  <c r="BV24" i="6" s="1"/>
  <c r="CW51" i="6"/>
  <c r="EK35" i="6"/>
  <c r="DD45" i="6"/>
  <c r="DD50" i="6"/>
  <c r="DE50" i="6" s="1"/>
  <c r="DD46" i="6"/>
  <c r="DE46" i="6" s="1"/>
  <c r="DD54" i="6"/>
  <c r="DE54" i="6" s="1"/>
  <c r="A23" i="6"/>
  <c r="EH19" i="6"/>
  <c r="BU43" i="6"/>
  <c r="DF63" i="6"/>
  <c r="DH35" i="6"/>
  <c r="DD61" i="6"/>
  <c r="DD28" i="6"/>
  <c r="DE28" i="6" s="1"/>
  <c r="DD52" i="6"/>
  <c r="DE52" i="6" s="1"/>
  <c r="DD4" i="6"/>
  <c r="DE4" i="6" s="1"/>
  <c r="CQ22" i="6"/>
  <c r="DH41" i="6"/>
  <c r="DD55" i="6"/>
  <c r="DE55" i="6" s="1"/>
  <c r="DD53" i="6"/>
  <c r="DE53" i="6" s="1"/>
  <c r="DD30" i="6"/>
  <c r="DE30" i="6" s="1"/>
  <c r="EH4" i="6"/>
  <c r="BU52" i="6"/>
  <c r="BE12" i="6"/>
  <c r="BY21" i="6" s="1"/>
  <c r="CQ14" i="6"/>
  <c r="CE29" i="6"/>
  <c r="BU39" i="6"/>
  <c r="DF62" i="6"/>
  <c r="BN57" i="6"/>
  <c r="BW63" i="6" s="1"/>
  <c r="BU14" i="6"/>
  <c r="DH34" i="6"/>
  <c r="BY57" i="6"/>
  <c r="BM31" i="6"/>
  <c r="BV55" i="6" s="1"/>
  <c r="DH43" i="6"/>
  <c r="CQ65" i="6"/>
  <c r="CQ67" i="6" s="1"/>
  <c r="BU65" i="6"/>
  <c r="CW32" i="6"/>
  <c r="DH47" i="6"/>
  <c r="DH50" i="6"/>
  <c r="BU57" i="6"/>
  <c r="DH52" i="6"/>
  <c r="DH11" i="6"/>
  <c r="DH14" i="6"/>
  <c r="BX13" i="6"/>
  <c r="BX22" i="6"/>
  <c r="BX4" i="6"/>
  <c r="BW18" i="6"/>
  <c r="BW22" i="6"/>
  <c r="BW4" i="6"/>
  <c r="BW14" i="6"/>
  <c r="BW9" i="6"/>
  <c r="A57" i="6"/>
  <c r="DD49" i="6"/>
  <c r="DE49" i="6" s="1"/>
  <c r="DD65" i="6"/>
  <c r="DE65" i="6" s="1"/>
  <c r="DD36" i="6"/>
  <c r="DE36" i="6" s="1"/>
  <c r="DD9" i="6"/>
  <c r="DE9" i="6" s="1"/>
  <c r="DD7" i="6"/>
  <c r="DE7" i="6" s="1"/>
  <c r="DD18" i="6"/>
  <c r="DE18" i="6" s="1"/>
  <c r="DD56" i="6"/>
  <c r="DE56" i="6" s="1"/>
  <c r="DD11" i="6"/>
  <c r="DE11" i="6" s="1"/>
  <c r="DD64" i="6"/>
  <c r="DE64" i="6" s="1"/>
  <c r="DD21" i="6"/>
  <c r="DE21" i="6" s="1"/>
  <c r="DD43" i="6"/>
  <c r="DD62" i="6"/>
  <c r="DE62" i="6" s="1"/>
  <c r="DD51" i="6"/>
  <c r="DE51" i="6" s="1"/>
  <c r="DD19" i="6"/>
  <c r="DE19" i="6" s="1"/>
  <c r="DD17" i="6"/>
  <c r="DE17" i="6" s="1"/>
  <c r="DH12" i="6"/>
  <c r="CN55" i="6"/>
  <c r="CE42" i="6"/>
  <c r="CE44" i="6" s="1"/>
  <c r="BU60" i="6"/>
  <c r="DD13" i="6"/>
  <c r="DE13" i="6" s="1"/>
  <c r="DD40" i="6"/>
  <c r="DE40" i="6" s="1"/>
  <c r="DD32" i="6"/>
  <c r="DE32" i="6" s="1"/>
  <c r="DD31" i="6"/>
  <c r="DE31" i="6" s="1"/>
  <c r="DD29" i="6"/>
  <c r="DE29" i="6" s="1"/>
  <c r="DD27" i="6"/>
  <c r="DE27" i="6" s="1"/>
  <c r="DD35" i="6"/>
  <c r="DE35" i="6" s="1"/>
  <c r="DD44" i="6"/>
  <c r="DE44" i="6" s="1"/>
  <c r="DD14" i="6"/>
  <c r="DE14" i="6" s="1"/>
  <c r="DD16" i="6"/>
  <c r="DE16" i="6" s="1"/>
  <c r="DD48" i="6"/>
  <c r="DE48" i="6" s="1"/>
  <c r="CT10" i="6"/>
  <c r="CT12" i="6" s="1"/>
  <c r="DD57" i="6"/>
  <c r="DE57" i="6" s="1"/>
  <c r="DD22" i="6"/>
  <c r="DE22" i="6" s="1"/>
  <c r="DD12" i="6"/>
  <c r="DE12" i="6" s="1"/>
  <c r="DD47" i="6"/>
  <c r="DD63" i="6"/>
  <c r="DE63" i="6" s="1"/>
  <c r="BU64" i="6"/>
  <c r="DH16" i="6"/>
  <c r="DD37" i="6"/>
  <c r="DE37" i="6" s="1"/>
  <c r="DD59" i="6"/>
  <c r="DE59" i="6" s="1"/>
  <c r="DD5" i="6"/>
  <c r="DE5" i="6" s="1"/>
  <c r="DD26" i="6"/>
  <c r="DE26" i="6" s="1"/>
  <c r="A3" i="6"/>
  <c r="A33" i="6"/>
  <c r="DD25" i="6"/>
  <c r="DD23" i="6"/>
  <c r="DE23" i="6" s="1"/>
  <c r="DD38" i="6"/>
  <c r="DE38" i="6" s="1"/>
  <c r="DD39" i="6"/>
  <c r="DE39" i="6" s="1"/>
  <c r="DD8" i="6"/>
  <c r="EH29" i="6"/>
  <c r="DD41" i="6"/>
  <c r="DE41" i="6" s="1"/>
  <c r="DD24" i="6"/>
  <c r="DE24" i="6" s="1"/>
  <c r="DD42" i="6"/>
  <c r="DE42" i="6" s="1"/>
  <c r="DH18" i="6"/>
  <c r="BU34" i="6"/>
  <c r="BU37" i="6"/>
  <c r="BY62" i="6"/>
  <c r="CN12" i="6"/>
  <c r="CN13" i="6" s="1"/>
  <c r="BI51" i="6"/>
  <c r="BV58" i="6" s="1"/>
  <c r="BU48" i="6"/>
  <c r="BU47" i="6"/>
  <c r="BU35" i="6"/>
  <c r="DF65" i="6"/>
  <c r="BF33" i="6"/>
  <c r="BV20" i="6" s="1"/>
  <c r="DF57" i="6"/>
  <c r="CQ26" i="6"/>
  <c r="CW28" i="6"/>
  <c r="BX17" i="6"/>
  <c r="BU46" i="6"/>
  <c r="BU51" i="6"/>
  <c r="BU49" i="6"/>
  <c r="BU54" i="6"/>
  <c r="BU50" i="6"/>
  <c r="BU33" i="6"/>
  <c r="BU12" i="6"/>
  <c r="DF64" i="6"/>
  <c r="DF61" i="6"/>
  <c r="DF59" i="6"/>
  <c r="CW46" i="6"/>
  <c r="BU55" i="6"/>
  <c r="BU36" i="6"/>
  <c r="BU45" i="6"/>
  <c r="BX9" i="6"/>
  <c r="BU40" i="6"/>
  <c r="BU53" i="6"/>
  <c r="BU38" i="6"/>
  <c r="BU44" i="6"/>
  <c r="BU56" i="6"/>
  <c r="BU7" i="6"/>
  <c r="CE56" i="6"/>
  <c r="BU25" i="6"/>
  <c r="BU32" i="6"/>
  <c r="BU23" i="6"/>
  <c r="BU24" i="6"/>
  <c r="BU27" i="6"/>
  <c r="BU29" i="6"/>
  <c r="BX16" i="6"/>
  <c r="BU31" i="6"/>
  <c r="BU9" i="6"/>
  <c r="CQ39" i="6"/>
  <c r="CQ41" i="6" s="1"/>
  <c r="CN47" i="6"/>
  <c r="CN48" i="6" s="1"/>
  <c r="BW5" i="6"/>
  <c r="BW16" i="6"/>
  <c r="BX14" i="6"/>
  <c r="BX3" i="6"/>
  <c r="BX12" i="6"/>
  <c r="BX19" i="6"/>
  <c r="BU26" i="6"/>
  <c r="BU21" i="6"/>
  <c r="BU16" i="6"/>
  <c r="BU3" i="6"/>
  <c r="BU22" i="6"/>
  <c r="BU63" i="6"/>
  <c r="BU58" i="6"/>
  <c r="BU62" i="6"/>
  <c r="BU61" i="6"/>
  <c r="BX8" i="6"/>
  <c r="BX5" i="6"/>
  <c r="BX7" i="6"/>
  <c r="BU30" i="6"/>
  <c r="BU4" i="6"/>
  <c r="BU17" i="6"/>
  <c r="BU5" i="6"/>
  <c r="BY59" i="6"/>
  <c r="BY58" i="6"/>
  <c r="BY64" i="6"/>
  <c r="BY65" i="6"/>
  <c r="CQ52" i="6"/>
  <c r="CQ54" i="6" s="1"/>
  <c r="BW17" i="6"/>
  <c r="CW10" i="6"/>
  <c r="BX11" i="6"/>
  <c r="BX18" i="6"/>
  <c r="BX21" i="6"/>
  <c r="BU8" i="6"/>
  <c r="BU18" i="6"/>
  <c r="BU19" i="6"/>
  <c r="BY61" i="6"/>
  <c r="BY60" i="6"/>
  <c r="BO51" i="6"/>
  <c r="BW18" i="4"/>
  <c r="BW41" i="4"/>
  <c r="BW26" i="4"/>
  <c r="BW8" i="4"/>
  <c r="BW6" i="4"/>
  <c r="BW52" i="4"/>
  <c r="BW38" i="4"/>
  <c r="BW51" i="4"/>
  <c r="BW32" i="4"/>
  <c r="BW45" i="4"/>
  <c r="BW34" i="4"/>
  <c r="BW55" i="4"/>
  <c r="BW25" i="4"/>
  <c r="BW40" i="4"/>
  <c r="BW46" i="4"/>
  <c r="BW22" i="4"/>
  <c r="BW7" i="4"/>
  <c r="BW21" i="4"/>
  <c r="BW12" i="4"/>
  <c r="BW59" i="4"/>
  <c r="BW29" i="4"/>
  <c r="BW60" i="4"/>
  <c r="BW54" i="4"/>
  <c r="BW57" i="4"/>
  <c r="BW19" i="4"/>
  <c r="BW37" i="4"/>
  <c r="BW9" i="4"/>
  <c r="BW39" i="4"/>
  <c r="BW10" i="4"/>
  <c r="BW48" i="4"/>
  <c r="BW24" i="4"/>
  <c r="BW20" i="4"/>
  <c r="BW35" i="4"/>
  <c r="BW3" i="4"/>
  <c r="BW13" i="4"/>
  <c r="BW50" i="4"/>
  <c r="BW23" i="4"/>
  <c r="BW49" i="4"/>
  <c r="BW17" i="4"/>
  <c r="BW31" i="4"/>
  <c r="BW14" i="4"/>
  <c r="BW28" i="4"/>
  <c r="BW5" i="4"/>
  <c r="BW58" i="4"/>
  <c r="BW15" i="4"/>
  <c r="BW27" i="4"/>
  <c r="BW44" i="4"/>
  <c r="BW43" i="4"/>
  <c r="BW30" i="4"/>
  <c r="BW11" i="4"/>
  <c r="BW42" i="4"/>
  <c r="BW33" i="4"/>
  <c r="BW16" i="4"/>
  <c r="BW36" i="4"/>
  <c r="BW4" i="4"/>
  <c r="BW53" i="4"/>
  <c r="BW47" i="4"/>
  <c r="BW56" i="4"/>
  <c r="AN71" i="4"/>
  <c r="ED2" i="4" s="1"/>
  <c r="BN72" i="4"/>
  <c r="DB15" i="4"/>
  <c r="DD15" i="4" s="1"/>
  <c r="DE15" i="4" s="1"/>
  <c r="DF15" i="4" s="1"/>
  <c r="DB23" i="4"/>
  <c r="DD23" i="4" s="1"/>
  <c r="DE23" i="4" s="1"/>
  <c r="DF23" i="4" s="1"/>
  <c r="DB35" i="4"/>
  <c r="DB10" i="4"/>
  <c r="DD10" i="4" s="1"/>
  <c r="DE10" i="4" s="1"/>
  <c r="DF10" i="4" s="1"/>
  <c r="DB20" i="4"/>
  <c r="DD20" i="4" s="1"/>
  <c r="DE20" i="4" s="1"/>
  <c r="DF20" i="4" s="1"/>
  <c r="DB24" i="4"/>
  <c r="DD24" i="4" s="1"/>
  <c r="DE24" i="4" s="1"/>
  <c r="DF24" i="4" s="1"/>
  <c r="BS57" i="4"/>
  <c r="BS56" i="4"/>
  <c r="BS58" i="4"/>
  <c r="BQ55" i="4"/>
  <c r="BQ57" i="4"/>
  <c r="BQ56" i="4"/>
  <c r="BQ9" i="4"/>
  <c r="BQ24" i="4"/>
  <c r="BQ23" i="4"/>
  <c r="BQ22" i="4"/>
  <c r="BQ21" i="4"/>
  <c r="BQ20" i="4"/>
  <c r="BQ19" i="4"/>
  <c r="BQ18" i="4"/>
  <c r="BQ17" i="4"/>
  <c r="BT24" i="4"/>
  <c r="BT23" i="4"/>
  <c r="BT22" i="4"/>
  <c r="BT21" i="4"/>
  <c r="BT20" i="4"/>
  <c r="BT19" i="4"/>
  <c r="BT18" i="4"/>
  <c r="BT17" i="4"/>
  <c r="AG66" i="4"/>
  <c r="AG32" i="4"/>
  <c r="AG69" i="4"/>
  <c r="AG36" i="4"/>
  <c r="AG63" i="4"/>
  <c r="AG67" i="4"/>
  <c r="AG65" i="4"/>
  <c r="AG68" i="4"/>
  <c r="AG64" i="4"/>
  <c r="AG62" i="4"/>
  <c r="AG31" i="4"/>
  <c r="AG33" i="4"/>
  <c r="AG34" i="4"/>
  <c r="AG58" i="4"/>
  <c r="AG54" i="4"/>
  <c r="AG51" i="4"/>
  <c r="AG56" i="4"/>
  <c r="AG53" i="4"/>
  <c r="AG37" i="4"/>
  <c r="AG60" i="4"/>
  <c r="AG46" i="4"/>
  <c r="AG55" i="4"/>
  <c r="AG61" i="4"/>
  <c r="AG48" i="4"/>
  <c r="AG41" i="4"/>
  <c r="AG42" i="4"/>
  <c r="AG59" i="4"/>
  <c r="AG43" i="4"/>
  <c r="AG39" i="4"/>
  <c r="AG49" i="4"/>
  <c r="AG45" i="4"/>
  <c r="AG57" i="4"/>
  <c r="AG50" i="4"/>
  <c r="AG38" i="4"/>
  <c r="AG47" i="4"/>
  <c r="AG52" i="4"/>
  <c r="CJ36" i="4"/>
  <c r="DB37" i="4"/>
  <c r="CJ29" i="4"/>
  <c r="AG5" i="4"/>
  <c r="DB44" i="4"/>
  <c r="DB45" i="4"/>
  <c r="DB52" i="4"/>
  <c r="DB59" i="4"/>
  <c r="DB56" i="4"/>
  <c r="BQ37" i="4"/>
  <c r="DB41" i="4"/>
  <c r="DB55" i="4"/>
  <c r="DB38" i="4"/>
  <c r="DB36" i="4"/>
  <c r="DB47" i="4"/>
  <c r="DB60" i="4"/>
  <c r="BQ31" i="4"/>
  <c r="AG18" i="4"/>
  <c r="BQ58" i="4"/>
  <c r="AG8" i="4"/>
  <c r="AG27" i="4"/>
  <c r="BQ29" i="4"/>
  <c r="AG28" i="4"/>
  <c r="AG29" i="4"/>
  <c r="AG17" i="4"/>
  <c r="AG30" i="4"/>
  <c r="BQ26" i="4"/>
  <c r="AG26" i="4"/>
  <c r="AG21" i="4"/>
  <c r="DB31" i="4"/>
  <c r="DD31" i="4" s="1"/>
  <c r="DE31" i="4" s="1"/>
  <c r="DF31" i="4" s="1"/>
  <c r="BQ63" i="4"/>
  <c r="AG14" i="4"/>
  <c r="AG22" i="4"/>
  <c r="CP25" i="4"/>
  <c r="DB12" i="4"/>
  <c r="DD12" i="4" s="1"/>
  <c r="DE12" i="4" s="1"/>
  <c r="DF12" i="4" s="1"/>
  <c r="BT67" i="4"/>
  <c r="BT61" i="4"/>
  <c r="BQ49" i="4"/>
  <c r="CS51" i="4"/>
  <c r="BS65" i="4"/>
  <c r="BQ33" i="4"/>
  <c r="BT12" i="4"/>
  <c r="DB58" i="4"/>
  <c r="DB50" i="4"/>
  <c r="DB46" i="4"/>
  <c r="BS63" i="4"/>
  <c r="DB51" i="4"/>
  <c r="BQ25" i="4"/>
  <c r="DB54" i="4"/>
  <c r="DB49" i="4"/>
  <c r="DB18" i="4"/>
  <c r="DD18" i="4" s="1"/>
  <c r="DE18" i="4" s="1"/>
  <c r="DF18" i="4" s="1"/>
  <c r="CS14" i="4"/>
  <c r="BQ30" i="4"/>
  <c r="DB43" i="4"/>
  <c r="DB39" i="4"/>
  <c r="BQ32" i="4"/>
  <c r="BQ45" i="4"/>
  <c r="CM8" i="4"/>
  <c r="DC40" i="4" s="1"/>
  <c r="DB48" i="4"/>
  <c r="BI39" i="4"/>
  <c r="BR26" i="4" s="1"/>
  <c r="DB57" i="4"/>
  <c r="BQ27" i="4"/>
  <c r="CP37" i="4"/>
  <c r="CP41" i="4" s="1"/>
  <c r="DB42" i="4"/>
  <c r="BS48" i="4"/>
  <c r="BS54" i="4"/>
  <c r="BS43" i="4"/>
  <c r="BS40" i="4"/>
  <c r="BS28" i="4"/>
  <c r="BS53" i="4"/>
  <c r="BS25" i="4"/>
  <c r="DD25" i="4"/>
  <c r="DE25" i="4" s="1"/>
  <c r="DF25" i="4" s="1"/>
  <c r="DB33" i="4"/>
  <c r="DD33" i="4" s="1"/>
  <c r="DE33" i="4" s="1"/>
  <c r="DF33" i="4" s="1"/>
  <c r="DB27" i="4"/>
  <c r="DD27" i="4" s="1"/>
  <c r="DE27" i="4" s="1"/>
  <c r="DF27" i="4" s="1"/>
  <c r="DB28" i="4"/>
  <c r="DD28" i="4" s="1"/>
  <c r="DE28" i="4" s="1"/>
  <c r="DF28" i="4" s="1"/>
  <c r="BS69" i="4"/>
  <c r="BS61" i="4"/>
  <c r="DB29" i="4"/>
  <c r="DD29" i="4" s="1"/>
  <c r="DE29" i="4" s="1"/>
  <c r="DF29" i="4" s="1"/>
  <c r="BQ28" i="4"/>
  <c r="BQ61" i="4"/>
  <c r="BS66" i="4"/>
  <c r="CS28" i="4"/>
  <c r="BT66" i="4"/>
  <c r="BS42" i="4"/>
  <c r="BS38" i="4"/>
  <c r="BS45" i="4"/>
  <c r="BQ44" i="4"/>
  <c r="BQ59" i="4"/>
  <c r="DB26" i="4"/>
  <c r="DD26" i="4" s="1"/>
  <c r="DE26" i="4" s="1"/>
  <c r="DF26" i="4" s="1"/>
  <c r="BT68" i="4"/>
  <c r="BT14" i="4"/>
  <c r="BS47" i="4"/>
  <c r="BS26" i="4"/>
  <c r="BS44" i="4"/>
  <c r="BS27" i="4"/>
  <c r="BS59" i="4"/>
  <c r="BS29" i="4"/>
  <c r="BQ42" i="4"/>
  <c r="BQ43" i="4"/>
  <c r="BQ40" i="4"/>
  <c r="BQ35" i="4"/>
  <c r="BQ54" i="4"/>
  <c r="BT64" i="4"/>
  <c r="CP10" i="4"/>
  <c r="CP12" i="4" s="1"/>
  <c r="CM39" i="4"/>
  <c r="CM41" i="4" s="1"/>
  <c r="CM65" i="4"/>
  <c r="CM67" i="4" s="1"/>
  <c r="CJ47" i="4"/>
  <c r="CJ48" i="4" s="1"/>
  <c r="DB16" i="4"/>
  <c r="DD16" i="4" s="1"/>
  <c r="DE16" i="4" s="1"/>
  <c r="DF16" i="4" s="1"/>
  <c r="BS30" i="4"/>
  <c r="BS46" i="4"/>
  <c r="BS37" i="4"/>
  <c r="BQ60" i="4"/>
  <c r="BQ53" i="4"/>
  <c r="DB30" i="4"/>
  <c r="DD30" i="4" s="1"/>
  <c r="DE30" i="4" s="1"/>
  <c r="DF30" i="4" s="1"/>
  <c r="DB32" i="4"/>
  <c r="DD32" i="4" s="1"/>
  <c r="DE32" i="4" s="1"/>
  <c r="DF32" i="4" s="1"/>
  <c r="DB34" i="4"/>
  <c r="DD34" i="4" s="1"/>
  <c r="DE34" i="4" s="1"/>
  <c r="DF34" i="4" s="1"/>
  <c r="BT65" i="4"/>
  <c r="CJ12" i="4"/>
  <c r="CJ13" i="4" s="1"/>
  <c r="BT16" i="4"/>
  <c r="BS35" i="4"/>
  <c r="BS51" i="4"/>
  <c r="BS34" i="4"/>
  <c r="BS52" i="4"/>
  <c r="BS60" i="4"/>
  <c r="BS31" i="4"/>
  <c r="CS46" i="4"/>
  <c r="BQ38" i="4"/>
  <c r="BQ48" i="4"/>
  <c r="BQ52" i="4"/>
  <c r="BQ51" i="4"/>
  <c r="BQ39" i="4"/>
  <c r="BT62" i="4"/>
  <c r="CA42" i="4"/>
  <c r="CA44" i="4" s="1"/>
  <c r="BQ67" i="4"/>
  <c r="BS62" i="4"/>
  <c r="BS64" i="4"/>
  <c r="CA15" i="4"/>
  <c r="CA17" i="4" s="1"/>
  <c r="DB14" i="4"/>
  <c r="DD14" i="4" s="1"/>
  <c r="DE14" i="4" s="1"/>
  <c r="DF14" i="4" s="1"/>
  <c r="DB22" i="4"/>
  <c r="DD22" i="4" s="1"/>
  <c r="DE22" i="4" s="1"/>
  <c r="DF22" i="4" s="1"/>
  <c r="BE51" i="4"/>
  <c r="BR62" i="4" s="1"/>
  <c r="BS68" i="4"/>
  <c r="CA24" i="4"/>
  <c r="CA29" i="4" s="1"/>
  <c r="AG12" i="4"/>
  <c r="AG16" i="4"/>
  <c r="BT5" i="4"/>
  <c r="AG19" i="4"/>
  <c r="BT9" i="4"/>
  <c r="BT11" i="4"/>
  <c r="BT7" i="4"/>
  <c r="DB17" i="4"/>
  <c r="DD17" i="4" s="1"/>
  <c r="DE17" i="4" s="1"/>
  <c r="DF17" i="4" s="1"/>
  <c r="DB21" i="4"/>
  <c r="DD21" i="4" s="1"/>
  <c r="DE21" i="4" s="1"/>
  <c r="DF21" i="4" s="1"/>
  <c r="AG11" i="4"/>
  <c r="BT4" i="4"/>
  <c r="AN74" i="4"/>
  <c r="ED37" i="4" s="1"/>
  <c r="BT13" i="4"/>
  <c r="BT15" i="4"/>
  <c r="BT6" i="4"/>
  <c r="AG4" i="4"/>
  <c r="CS10" i="4"/>
  <c r="AG9" i="4"/>
  <c r="BQ66" i="4"/>
  <c r="BQ65" i="4"/>
  <c r="BQ69" i="4"/>
  <c r="DB19" i="4"/>
  <c r="DD19" i="4" s="1"/>
  <c r="DE19" i="4" s="1"/>
  <c r="DF19" i="4" s="1"/>
  <c r="DB4" i="4"/>
  <c r="DD4" i="4" s="1"/>
  <c r="DE4" i="4" s="1"/>
  <c r="DF4" i="4" s="1"/>
  <c r="CP20" i="4"/>
  <c r="CM14" i="4"/>
  <c r="BI31" i="4"/>
  <c r="CS24" i="4"/>
  <c r="BT3" i="4"/>
  <c r="EE22" i="4"/>
  <c r="BQ64" i="4"/>
  <c r="BQ62" i="4"/>
  <c r="BT69" i="4"/>
  <c r="AG13" i="4"/>
  <c r="CM52" i="4"/>
  <c r="CM54" i="4" s="1"/>
  <c r="BT8" i="4"/>
  <c r="BT10" i="4"/>
  <c r="BB33" i="4"/>
  <c r="BS55" i="4"/>
  <c r="BS36" i="4"/>
  <c r="BS33" i="4"/>
  <c r="BS41" i="4"/>
  <c r="BS39" i="4"/>
  <c r="BS49" i="4"/>
  <c r="BS32" i="4"/>
  <c r="BS50" i="4"/>
  <c r="BQ36" i="4"/>
  <c r="BQ46" i="4"/>
  <c r="BQ47" i="4"/>
  <c r="BQ50" i="4"/>
  <c r="BQ41" i="4"/>
  <c r="AG7" i="4"/>
  <c r="CS32" i="4"/>
  <c r="BW8" i="6"/>
  <c r="BW3" i="6"/>
  <c r="BW7" i="6"/>
  <c r="BW19" i="6"/>
  <c r="BW13" i="6"/>
  <c r="BW11" i="6"/>
  <c r="BW12" i="6"/>
  <c r="BW21" i="6"/>
  <c r="DH40" i="6"/>
  <c r="DH42" i="6"/>
  <c r="DH53" i="6"/>
  <c r="DH46" i="6"/>
  <c r="DH39" i="6"/>
  <c r="DH45" i="6"/>
  <c r="DH36" i="6"/>
  <c r="DH4" i="6"/>
  <c r="DH7" i="6"/>
  <c r="DH3" i="6"/>
  <c r="DH8" i="6"/>
  <c r="DH22" i="6"/>
  <c r="DH9" i="6"/>
  <c r="DH5" i="6"/>
  <c r="DH13" i="6"/>
  <c r="DH21" i="6"/>
  <c r="DH55" i="6"/>
  <c r="DH49" i="6"/>
  <c r="DH56" i="6"/>
  <c r="DH38" i="6"/>
  <c r="DH51" i="6"/>
  <c r="DH54" i="6"/>
  <c r="DH37" i="6"/>
  <c r="DH48" i="6"/>
  <c r="DH19" i="6"/>
  <c r="CH56" i="6"/>
  <c r="CH60" i="6" s="1"/>
  <c r="CH80" i="6" s="1"/>
  <c r="CA62" i="4"/>
  <c r="CA64" i="4" s="1"/>
  <c r="CD56" i="4"/>
  <c r="CD60" i="4" s="1"/>
  <c r="CD82" i="4" s="1"/>
  <c r="DB11" i="4"/>
  <c r="DD11" i="4" s="1"/>
  <c r="DE11" i="4" s="1"/>
  <c r="DF11" i="4" s="1"/>
  <c r="DB7" i="4"/>
  <c r="DD7" i="4" s="1"/>
  <c r="DE7" i="4" s="1"/>
  <c r="DF7" i="4" s="1"/>
  <c r="DB5" i="4"/>
  <c r="DD5" i="4" s="1"/>
  <c r="DE5" i="4" s="1"/>
  <c r="DF5" i="4" s="1"/>
  <c r="DB3" i="4"/>
  <c r="DD3" i="4" s="1"/>
  <c r="DE3" i="4" s="1"/>
  <c r="DF3" i="4" s="1"/>
  <c r="DB13" i="4"/>
  <c r="DD13" i="4" s="1"/>
  <c r="DE13" i="4" s="1"/>
  <c r="DF13" i="4" s="1"/>
  <c r="DB8" i="4"/>
  <c r="DD8" i="4" s="1"/>
  <c r="DE8" i="4" s="1"/>
  <c r="DF8" i="4" s="1"/>
  <c r="DB9" i="4"/>
  <c r="DD9" i="4" s="1"/>
  <c r="DE9" i="4" s="1"/>
  <c r="DF9" i="4" s="1"/>
  <c r="BA12" i="4"/>
  <c r="CG71" i="4"/>
  <c r="CJ62" i="4"/>
  <c r="AN72" i="4"/>
  <c r="ED27" i="4" s="1"/>
  <c r="CM28" i="4"/>
  <c r="BO72" i="4"/>
  <c r="BP67" i="4" s="1"/>
  <c r="BW27" i="6"/>
  <c r="BW44" i="6"/>
  <c r="BW54" i="6"/>
  <c r="BW42" i="6"/>
  <c r="BW34" i="6"/>
  <c r="BW30" i="6"/>
  <c r="BW53" i="6"/>
  <c r="BW49" i="6"/>
  <c r="BW51" i="6"/>
  <c r="BW48" i="6"/>
  <c r="BW23" i="6"/>
  <c r="BW55" i="6"/>
  <c r="BW50" i="6"/>
  <c r="BW52" i="6"/>
  <c r="BW29" i="6"/>
  <c r="BW31" i="6"/>
  <c r="BW45" i="6"/>
  <c r="BW40" i="6"/>
  <c r="BW32" i="6"/>
  <c r="BW36" i="6"/>
  <c r="BW46" i="6"/>
  <c r="BW26" i="6"/>
  <c r="BW43" i="6"/>
  <c r="BW38" i="6"/>
  <c r="BW39" i="6"/>
  <c r="BW41" i="6"/>
  <c r="BW33" i="6"/>
  <c r="BW56" i="6"/>
  <c r="BW24" i="6"/>
  <c r="BW37" i="6"/>
  <c r="BW28" i="6"/>
  <c r="BW35" i="6"/>
  <c r="BW25" i="6"/>
  <c r="BW47" i="6"/>
  <c r="BQ11" i="4"/>
  <c r="BQ14" i="4"/>
  <c r="BQ5" i="4"/>
  <c r="BQ12" i="4"/>
  <c r="BQ10" i="4"/>
  <c r="BQ7" i="4"/>
  <c r="BQ8" i="4"/>
  <c r="BQ3" i="4"/>
  <c r="BQ6" i="4"/>
  <c r="BQ16" i="4"/>
  <c r="BQ15" i="4"/>
  <c r="BQ13" i="4"/>
  <c r="F17" i="7"/>
  <c r="AJ60" i="6"/>
  <c r="AJ75" i="6" s="1"/>
  <c r="EH41" i="6" s="1"/>
  <c r="AQ70" i="6"/>
  <c r="EG37" i="6" s="1"/>
  <c r="F9" i="7"/>
  <c r="BQ4" i="4"/>
  <c r="BU68" i="4"/>
  <c r="BU62" i="4"/>
  <c r="BU69" i="4"/>
  <c r="BU61" i="4"/>
  <c r="BU67" i="4"/>
  <c r="BU66" i="4"/>
  <c r="BU63" i="4"/>
  <c r="BU64" i="4"/>
  <c r="BU65" i="4"/>
  <c r="CZ67" i="4"/>
  <c r="DE67" i="4" s="1"/>
  <c r="DF67" i="4" s="1"/>
  <c r="DG67" i="4" s="1"/>
  <c r="CZ62" i="4"/>
  <c r="DE62" i="4" s="1"/>
  <c r="DF62" i="4" s="1"/>
  <c r="DG62" i="4" s="1"/>
  <c r="CZ61" i="4"/>
  <c r="DE61" i="4" s="1"/>
  <c r="DF61" i="4" s="1"/>
  <c r="DG61" i="4" s="1"/>
  <c r="CZ64" i="4"/>
  <c r="DE64" i="4" s="1"/>
  <c r="DF64" i="4" s="1"/>
  <c r="DG64" i="4" s="1"/>
  <c r="CZ63" i="4"/>
  <c r="DE63" i="4" s="1"/>
  <c r="DF63" i="4" s="1"/>
  <c r="DG63" i="4" s="1"/>
  <c r="CZ68" i="4"/>
  <c r="DE68" i="4" s="1"/>
  <c r="DF68" i="4" s="1"/>
  <c r="DG68" i="4" s="1"/>
  <c r="CZ69" i="4"/>
  <c r="DE69" i="4" s="1"/>
  <c r="DF69" i="4" s="1"/>
  <c r="DG69" i="4" s="1"/>
  <c r="CZ65" i="4"/>
  <c r="DE65" i="4" s="1"/>
  <c r="DF65" i="4" s="1"/>
  <c r="DG65" i="4" s="1"/>
  <c r="CZ66" i="4"/>
  <c r="DE66" i="4" s="1"/>
  <c r="DF66" i="4" s="1"/>
  <c r="DG66" i="4" s="1"/>
  <c r="F20" i="7"/>
  <c r="F29" i="7"/>
  <c r="AJ43" i="6"/>
  <c r="AJ74" i="6" s="1"/>
  <c r="EH21" i="6" s="1"/>
  <c r="AQ69" i="6"/>
  <c r="EK25" i="6" s="1"/>
  <c r="DH25" i="6"/>
  <c r="DH32" i="6"/>
  <c r="DH29" i="6"/>
  <c r="DH27" i="6"/>
  <c r="DH30" i="6"/>
  <c r="DH31" i="6"/>
  <c r="DH26" i="6"/>
  <c r="DH24" i="6"/>
  <c r="DH28" i="6"/>
  <c r="DH23" i="6"/>
  <c r="F26" i="7"/>
  <c r="AJ29" i="6"/>
  <c r="AJ73" i="6" s="1"/>
  <c r="EH31" i="6" s="1"/>
  <c r="AQ68" i="6"/>
  <c r="EG27" i="6" s="1"/>
  <c r="AG44" i="4"/>
  <c r="EE34" i="4"/>
  <c r="EE24" i="4"/>
  <c r="CN67" i="6"/>
  <c r="AQ67" i="6"/>
  <c r="AJ12" i="6"/>
  <c r="EH32" i="6"/>
  <c r="EH42" i="6" s="1"/>
  <c r="EH22" i="6"/>
  <c r="DI49" i="6" l="1"/>
  <c r="EG17" i="6"/>
  <c r="K42" i="6"/>
  <c r="AQ32" i="7"/>
  <c r="AI31" i="7"/>
  <c r="AQ31" i="7"/>
  <c r="AQ33" i="7"/>
  <c r="AY7" i="7"/>
  <c r="AZ7" i="7" s="1"/>
  <c r="BA7" i="7" s="1"/>
  <c r="F7" i="7" s="1"/>
  <c r="Z16" i="7"/>
  <c r="E16" i="7" s="1"/>
  <c r="Z7" i="7"/>
  <c r="E7" i="7" s="1"/>
  <c r="ED17" i="4"/>
  <c r="K42" i="4"/>
  <c r="AM31" i="7"/>
  <c r="AM33" i="7"/>
  <c r="AM32" i="7"/>
  <c r="AM34" i="7"/>
  <c r="DK65" i="6"/>
  <c r="DL65" i="6" s="1"/>
  <c r="DM65" i="6" s="1"/>
  <c r="BY16" i="6"/>
  <c r="BY6" i="6"/>
  <c r="BY15" i="6"/>
  <c r="BY9" i="6"/>
  <c r="BY22" i="6"/>
  <c r="BY12" i="6"/>
  <c r="BY3" i="6"/>
  <c r="BY10" i="6"/>
  <c r="BY19" i="6"/>
  <c r="BY13" i="6"/>
  <c r="BY14" i="6"/>
  <c r="BY7" i="6"/>
  <c r="BY4" i="6"/>
  <c r="BY20" i="6"/>
  <c r="BY17" i="6"/>
  <c r="BY18" i="6"/>
  <c r="BY11" i="6"/>
  <c r="BY8" i="6"/>
  <c r="BY5" i="6"/>
  <c r="CQ28" i="6"/>
  <c r="CQ69" i="6" s="1"/>
  <c r="CN80" i="6"/>
  <c r="BU11" i="4"/>
  <c r="BU18" i="4"/>
  <c r="BU21" i="4"/>
  <c r="BU5" i="4"/>
  <c r="BU12" i="4"/>
  <c r="BU23" i="4"/>
  <c r="BU7" i="4"/>
  <c r="BU14" i="4"/>
  <c r="BU17" i="4"/>
  <c r="BU24" i="4"/>
  <c r="BU8" i="4"/>
  <c r="BU19" i="4"/>
  <c r="BU3" i="4"/>
  <c r="BU10" i="4"/>
  <c r="BU13" i="4"/>
  <c r="BU20" i="4"/>
  <c r="BU4" i="4"/>
  <c r="BU15" i="4"/>
  <c r="BU22" i="4"/>
  <c r="BU6" i="4"/>
  <c r="BU9" i="4"/>
  <c r="BU16" i="4"/>
  <c r="DJ18" i="6"/>
  <c r="DK18" i="6" s="1"/>
  <c r="DL18" i="6" s="1"/>
  <c r="DJ30" i="6"/>
  <c r="DK30" i="6" s="1"/>
  <c r="DL30" i="6" s="1"/>
  <c r="DJ32" i="6"/>
  <c r="DK32" i="6" s="1"/>
  <c r="DL32" i="6" s="1"/>
  <c r="DJ26" i="6"/>
  <c r="DK26" i="6" s="1"/>
  <c r="DL26" i="6" s="1"/>
  <c r="DJ28" i="6"/>
  <c r="DK28" i="6" s="1"/>
  <c r="DL28" i="6" s="1"/>
  <c r="DJ25" i="6"/>
  <c r="DK25" i="6" s="1"/>
  <c r="DL25" i="6" s="1"/>
  <c r="DJ12" i="6"/>
  <c r="DK12" i="6" s="1"/>
  <c r="DL12" i="6" s="1"/>
  <c r="EH35" i="4"/>
  <c r="DI36" i="6"/>
  <c r="DK36" i="6" s="1"/>
  <c r="DL36" i="6" s="1"/>
  <c r="DM36" i="6" s="1"/>
  <c r="DJ21" i="6"/>
  <c r="DK21" i="6" s="1"/>
  <c r="DL21" i="6" s="1"/>
  <c r="DJ4" i="6"/>
  <c r="DK4" i="6" s="1"/>
  <c r="DL4" i="6" s="1"/>
  <c r="CW16" i="6"/>
  <c r="DK64" i="6"/>
  <c r="DL64" i="6" s="1"/>
  <c r="DM64" i="6" s="1"/>
  <c r="DK63" i="6"/>
  <c r="DL63" i="6" s="1"/>
  <c r="DM63" i="6" s="1"/>
  <c r="DJ24" i="6"/>
  <c r="DK24" i="6" s="1"/>
  <c r="DL24" i="6" s="1"/>
  <c r="DJ27" i="6"/>
  <c r="DK27" i="6" s="1"/>
  <c r="DL27" i="6" s="1"/>
  <c r="DJ13" i="6"/>
  <c r="DK13" i="6" s="1"/>
  <c r="DL13" i="6" s="1"/>
  <c r="DJ8" i="6"/>
  <c r="DK8" i="6" s="1"/>
  <c r="DL8" i="6" s="1"/>
  <c r="DJ29" i="6"/>
  <c r="DK29" i="6" s="1"/>
  <c r="DL29" i="6" s="1"/>
  <c r="DJ3" i="6"/>
  <c r="DK3" i="6" s="1"/>
  <c r="DL3" i="6" s="1"/>
  <c r="DK59" i="6"/>
  <c r="DL59" i="6" s="1"/>
  <c r="DM59" i="6" s="1"/>
  <c r="DJ16" i="6"/>
  <c r="DK16" i="6" s="1"/>
  <c r="DL16" i="6" s="1"/>
  <c r="DJ14" i="6"/>
  <c r="DK14" i="6" s="1"/>
  <c r="DL14" i="6" s="1"/>
  <c r="DJ23" i="6"/>
  <c r="DK23" i="6" s="1"/>
  <c r="DL23" i="6" s="1"/>
  <c r="DJ31" i="6"/>
  <c r="DK31" i="6" s="1"/>
  <c r="DL31" i="6" s="1"/>
  <c r="DJ9" i="6"/>
  <c r="DK9" i="6" s="1"/>
  <c r="DL9" i="6" s="1"/>
  <c r="DJ7" i="6"/>
  <c r="DK7" i="6" s="1"/>
  <c r="DL7" i="6" s="1"/>
  <c r="DK61" i="6"/>
  <c r="DL61" i="6" s="1"/>
  <c r="DM61" i="6" s="1"/>
  <c r="DK57" i="6"/>
  <c r="DL57" i="6" s="1"/>
  <c r="DM57" i="6" s="1"/>
  <c r="DJ11" i="6"/>
  <c r="DK11" i="6" s="1"/>
  <c r="DL11" i="6" s="1"/>
  <c r="DK62" i="6"/>
  <c r="DL62" i="6" s="1"/>
  <c r="DM62" i="6" s="1"/>
  <c r="BX15" i="4"/>
  <c r="BX5" i="4"/>
  <c r="BS12" i="4"/>
  <c r="BX14" i="4"/>
  <c r="BS6" i="4"/>
  <c r="BS15" i="4"/>
  <c r="BS19" i="4"/>
  <c r="BS16" i="4"/>
  <c r="BS4" i="4"/>
  <c r="BS10" i="4"/>
  <c r="BS5" i="4"/>
  <c r="BS21" i="4"/>
  <c r="BS9" i="4"/>
  <c r="BS13" i="4"/>
  <c r="BS7" i="4"/>
  <c r="BS8" i="4"/>
  <c r="BS17" i="4"/>
  <c r="BS22" i="4"/>
  <c r="BS3" i="4"/>
  <c r="BS14" i="4"/>
  <c r="BS11" i="4"/>
  <c r="BS18" i="4"/>
  <c r="BS23" i="4"/>
  <c r="BS20" i="4"/>
  <c r="BX23" i="4"/>
  <c r="DK38" i="6"/>
  <c r="DL38" i="6" s="1"/>
  <c r="DM38" i="6" s="1"/>
  <c r="CE64" i="6"/>
  <c r="DI44" i="6"/>
  <c r="DK44" i="6" s="1"/>
  <c r="DL44" i="6" s="1"/>
  <c r="DM44" i="6" s="1"/>
  <c r="DI51" i="6"/>
  <c r="DK51" i="6" s="1"/>
  <c r="DL51" i="6" s="1"/>
  <c r="DM51" i="6" s="1"/>
  <c r="DI53" i="6"/>
  <c r="DK53" i="6" s="1"/>
  <c r="DL53" i="6" s="1"/>
  <c r="DM53" i="6" s="1"/>
  <c r="DI37" i="6"/>
  <c r="DK37" i="6" s="1"/>
  <c r="DL37" i="6" s="1"/>
  <c r="DM37" i="6" s="1"/>
  <c r="DI39" i="6"/>
  <c r="DK39" i="6" s="1"/>
  <c r="DL39" i="6" s="1"/>
  <c r="DM39" i="6" s="1"/>
  <c r="DI34" i="6"/>
  <c r="DK34" i="6" s="1"/>
  <c r="DL34" i="6" s="1"/>
  <c r="DM34" i="6" s="1"/>
  <c r="DI43" i="6"/>
  <c r="DK43" i="6" s="1"/>
  <c r="DL43" i="6" s="1"/>
  <c r="DM43" i="6" s="1"/>
  <c r="DI52" i="6"/>
  <c r="DK52" i="6" s="1"/>
  <c r="DL52" i="6" s="1"/>
  <c r="DM52" i="6" s="1"/>
  <c r="CQ16" i="6"/>
  <c r="DI50" i="6"/>
  <c r="DK50" i="6" s="1"/>
  <c r="DL50" i="6" s="1"/>
  <c r="DM50" i="6" s="1"/>
  <c r="DI41" i="6"/>
  <c r="DK41" i="6" s="1"/>
  <c r="DL41" i="6" s="1"/>
  <c r="DM41" i="6" s="1"/>
  <c r="DI45" i="6"/>
  <c r="DK45" i="6" s="1"/>
  <c r="DL45" i="6" s="1"/>
  <c r="DM45" i="6" s="1"/>
  <c r="DI48" i="6"/>
  <c r="DK48" i="6" s="1"/>
  <c r="DL48" i="6" s="1"/>
  <c r="DM48" i="6" s="1"/>
  <c r="DI42" i="6"/>
  <c r="DK42" i="6" s="1"/>
  <c r="DL42" i="6" s="1"/>
  <c r="DM42" i="6" s="1"/>
  <c r="DI54" i="6"/>
  <c r="DK54" i="6" s="1"/>
  <c r="DL54" i="6" s="1"/>
  <c r="DM54" i="6" s="1"/>
  <c r="DI56" i="6"/>
  <c r="DK56" i="6" s="1"/>
  <c r="DL56" i="6" s="1"/>
  <c r="DM56" i="6" s="1"/>
  <c r="DI35" i="6"/>
  <c r="DK35" i="6" s="1"/>
  <c r="DL35" i="6" s="1"/>
  <c r="DM35" i="6" s="1"/>
  <c r="DI40" i="6"/>
  <c r="DK40" i="6" s="1"/>
  <c r="DL40" i="6" s="1"/>
  <c r="DM40" i="6" s="1"/>
  <c r="DI46" i="6"/>
  <c r="DK46" i="6" s="1"/>
  <c r="DL46" i="6" s="1"/>
  <c r="DM46" i="6" s="1"/>
  <c r="DI55" i="6"/>
  <c r="DK55" i="6" s="1"/>
  <c r="DL55" i="6" s="1"/>
  <c r="DM55" i="6" s="1"/>
  <c r="DI47" i="6"/>
  <c r="DK47" i="6" s="1"/>
  <c r="DL47" i="6" s="1"/>
  <c r="DM47" i="6" s="1"/>
  <c r="DJ17" i="6"/>
  <c r="DK17" i="6" s="1"/>
  <c r="DL17" i="6" s="1"/>
  <c r="DJ19" i="6"/>
  <c r="DK19" i="6" s="1"/>
  <c r="DL19" i="6" s="1"/>
  <c r="BX18" i="4"/>
  <c r="BX22" i="4"/>
  <c r="BX17" i="4"/>
  <c r="BX13" i="4"/>
  <c r="BX21" i="4"/>
  <c r="BX20" i="4"/>
  <c r="BX6" i="4"/>
  <c r="BX16" i="4"/>
  <c r="BX12" i="4"/>
  <c r="BX4" i="4"/>
  <c r="BX7" i="4"/>
  <c r="BX8" i="4"/>
  <c r="BX9" i="4"/>
  <c r="BX19" i="4"/>
  <c r="BX11" i="4"/>
  <c r="BX10" i="4"/>
  <c r="BX3" i="4"/>
  <c r="CK74" i="6"/>
  <c r="CK80" i="6" s="1"/>
  <c r="CB10" i="6"/>
  <c r="CB15" i="6"/>
  <c r="CB19" i="6"/>
  <c r="CB16" i="6"/>
  <c r="CB20" i="6"/>
  <c r="CB3" i="6"/>
  <c r="CB4" i="6"/>
  <c r="CB13" i="6"/>
  <c r="CB7" i="6"/>
  <c r="CB12" i="6"/>
  <c r="CB17" i="6"/>
  <c r="DK49" i="6"/>
  <c r="DL49" i="6" s="1"/>
  <c r="DM49" i="6" s="1"/>
  <c r="DC52" i="4"/>
  <c r="DE52" i="4" s="1"/>
  <c r="DF52" i="4" s="1"/>
  <c r="DG52" i="4" s="1"/>
  <c r="AJ72" i="6"/>
  <c r="EH6" i="6" s="1"/>
  <c r="CB11" i="6"/>
  <c r="CB8" i="6"/>
  <c r="CB5" i="6"/>
  <c r="CB14" i="6"/>
  <c r="CB21" i="6"/>
  <c r="CB18" i="6"/>
  <c r="CB9" i="6"/>
  <c r="CB6" i="6"/>
  <c r="DJ10" i="6"/>
  <c r="DK10" i="6" s="1"/>
  <c r="DL10" i="6" s="1"/>
  <c r="DJ15" i="6"/>
  <c r="DK15" i="6" s="1"/>
  <c r="DL15" i="6" s="1"/>
  <c r="DJ6" i="6"/>
  <c r="DK6" i="6" s="1"/>
  <c r="DL6" i="6" s="1"/>
  <c r="BV39" i="6"/>
  <c r="DJ22" i="6"/>
  <c r="DK22" i="6" s="1"/>
  <c r="DL22" i="6" s="1"/>
  <c r="BV10" i="6"/>
  <c r="BV15" i="6"/>
  <c r="BT10" i="6"/>
  <c r="BT15" i="6"/>
  <c r="BW64" i="6"/>
  <c r="BV35" i="6"/>
  <c r="BV14" i="6"/>
  <c r="BV23" i="6"/>
  <c r="CW52" i="6"/>
  <c r="BV17" i="6"/>
  <c r="BV6" i="6"/>
  <c r="BW57" i="6"/>
  <c r="BT11" i="6"/>
  <c r="BT6" i="6"/>
  <c r="BV40" i="6"/>
  <c r="BV28" i="6"/>
  <c r="BV29" i="6"/>
  <c r="BV31" i="6"/>
  <c r="BV53" i="6"/>
  <c r="BV4" i="6"/>
  <c r="BV32" i="6"/>
  <c r="BT17" i="6"/>
  <c r="BT49" i="6"/>
  <c r="BT48" i="6"/>
  <c r="BT44" i="6"/>
  <c r="BT45" i="6"/>
  <c r="BV25" i="6"/>
  <c r="BV27" i="6"/>
  <c r="BV26" i="6"/>
  <c r="BV62" i="6"/>
  <c r="BV30" i="6"/>
  <c r="BW61" i="6"/>
  <c r="BW65" i="6"/>
  <c r="BW62" i="6"/>
  <c r="BV34" i="6"/>
  <c r="BV41" i="6"/>
  <c r="BW58" i="6"/>
  <c r="BW59" i="6"/>
  <c r="BV48" i="6"/>
  <c r="BV43" i="6"/>
  <c r="BV44" i="6"/>
  <c r="BV49" i="6"/>
  <c r="BV54" i="6"/>
  <c r="BV37" i="6"/>
  <c r="BV5" i="6"/>
  <c r="BV21" i="6"/>
  <c r="CW34" i="6"/>
  <c r="BV47" i="6"/>
  <c r="BV51" i="6"/>
  <c r="BV56" i="6"/>
  <c r="BV36" i="6"/>
  <c r="BV50" i="6"/>
  <c r="BV46" i="6"/>
  <c r="BV9" i="6"/>
  <c r="BT34" i="6"/>
  <c r="BV45" i="6"/>
  <c r="BV52" i="6"/>
  <c r="BV38" i="6"/>
  <c r="BV33" i="6"/>
  <c r="BV42" i="6"/>
  <c r="BW60" i="6"/>
  <c r="BV22" i="6"/>
  <c r="BV64" i="6"/>
  <c r="DJ5" i="6"/>
  <c r="DK5" i="6" s="1"/>
  <c r="DL5" i="6" s="1"/>
  <c r="BV60" i="6"/>
  <c r="BV57" i="6"/>
  <c r="BV59" i="6"/>
  <c r="BV63" i="6"/>
  <c r="BV61" i="6"/>
  <c r="CT80" i="6"/>
  <c r="CE46" i="6"/>
  <c r="BV65" i="6"/>
  <c r="BT18" i="6"/>
  <c r="BT19" i="6"/>
  <c r="BT41" i="6"/>
  <c r="BT23" i="6"/>
  <c r="BT35" i="6"/>
  <c r="BT54" i="6"/>
  <c r="BT47" i="6"/>
  <c r="BT65" i="6"/>
  <c r="BV7" i="6"/>
  <c r="BV16" i="6"/>
  <c r="BT58" i="6"/>
  <c r="BV13" i="6"/>
  <c r="BV18" i="6"/>
  <c r="BV12" i="6"/>
  <c r="BV11" i="6"/>
  <c r="BT60" i="6"/>
  <c r="BV8" i="6"/>
  <c r="BV3" i="6"/>
  <c r="BV19" i="6"/>
  <c r="BT4" i="6"/>
  <c r="BT14" i="6"/>
  <c r="BT9" i="6"/>
  <c r="BT43" i="6"/>
  <c r="BT29" i="6"/>
  <c r="BT27" i="6"/>
  <c r="BT13" i="6"/>
  <c r="BT46" i="6"/>
  <c r="BT37" i="6"/>
  <c r="BT39" i="6"/>
  <c r="BT42" i="6"/>
  <c r="BT40" i="6"/>
  <c r="BT56" i="6"/>
  <c r="BT3" i="6"/>
  <c r="BT12" i="6"/>
  <c r="BT21" i="6"/>
  <c r="BT7" i="6"/>
  <c r="BT28" i="6"/>
  <c r="BT26" i="6"/>
  <c r="BT38" i="6"/>
  <c r="BT36" i="6"/>
  <c r="BT5" i="6"/>
  <c r="BT8" i="6"/>
  <c r="BT52" i="6"/>
  <c r="BT32" i="6"/>
  <c r="BT25" i="6"/>
  <c r="BT16" i="6"/>
  <c r="BT50" i="6"/>
  <c r="BT30" i="6"/>
  <c r="BT53" i="6"/>
  <c r="BT24" i="6"/>
  <c r="BT55" i="6"/>
  <c r="BT51" i="6"/>
  <c r="BT31" i="6"/>
  <c r="BT33" i="6"/>
  <c r="BT22" i="6"/>
  <c r="BX61" i="6"/>
  <c r="BX63" i="6"/>
  <c r="BX64" i="6"/>
  <c r="BX59" i="6"/>
  <c r="BX57" i="6"/>
  <c r="BX58" i="6"/>
  <c r="BX65" i="6"/>
  <c r="BX60" i="6"/>
  <c r="BX62" i="6"/>
  <c r="CG74" i="4"/>
  <c r="CG82" i="4" s="1"/>
  <c r="AG78" i="4"/>
  <c r="EE21" i="4" s="1"/>
  <c r="DE40" i="4"/>
  <c r="DF40" i="4" s="1"/>
  <c r="DG40" i="4" s="1"/>
  <c r="AG76" i="4"/>
  <c r="EE6" i="4" s="1"/>
  <c r="DC57" i="4"/>
  <c r="DE57" i="4" s="1"/>
  <c r="DF57" i="4" s="1"/>
  <c r="DG57" i="4" s="1"/>
  <c r="DC35" i="4"/>
  <c r="DE35" i="4" s="1"/>
  <c r="DF35" i="4" s="1"/>
  <c r="DG35" i="4" s="1"/>
  <c r="DH24" i="4"/>
  <c r="ED3" i="4" s="1"/>
  <c r="BR36" i="4"/>
  <c r="BR57" i="4"/>
  <c r="BR56" i="4"/>
  <c r="BR58" i="4"/>
  <c r="BP24" i="4"/>
  <c r="BP57" i="4"/>
  <c r="BP56" i="4"/>
  <c r="BR10" i="4"/>
  <c r="BR24" i="4"/>
  <c r="BR23" i="4"/>
  <c r="BR22" i="4"/>
  <c r="BR21" i="4"/>
  <c r="BR20" i="4"/>
  <c r="BR19" i="4"/>
  <c r="BR18" i="4"/>
  <c r="BR17" i="4"/>
  <c r="BP22" i="4"/>
  <c r="BP23" i="4"/>
  <c r="BP20" i="4"/>
  <c r="BP21" i="4"/>
  <c r="BP18" i="4"/>
  <c r="BP19" i="4"/>
  <c r="BP12" i="4"/>
  <c r="BP17" i="4"/>
  <c r="AG79" i="4"/>
  <c r="EE41" i="4" s="1"/>
  <c r="BP38" i="4"/>
  <c r="BR44" i="4"/>
  <c r="BR28" i="4"/>
  <c r="DC60" i="4"/>
  <c r="DE60" i="4" s="1"/>
  <c r="DF60" i="4" s="1"/>
  <c r="DG60" i="4" s="1"/>
  <c r="BR13" i="4"/>
  <c r="CM16" i="4"/>
  <c r="BR52" i="4"/>
  <c r="DC42" i="4"/>
  <c r="DE42" i="4" s="1"/>
  <c r="DF42" i="4" s="1"/>
  <c r="DG42" i="4" s="1"/>
  <c r="CP27" i="4"/>
  <c r="CP82" i="4" s="1"/>
  <c r="BR59" i="4"/>
  <c r="BP26" i="4"/>
  <c r="BP14" i="4"/>
  <c r="DC49" i="4"/>
  <c r="DE49" i="4" s="1"/>
  <c r="DF49" i="4" s="1"/>
  <c r="DG49" i="4" s="1"/>
  <c r="AG77" i="4"/>
  <c r="EE31" i="4" s="1"/>
  <c r="BP7" i="4"/>
  <c r="DC39" i="4"/>
  <c r="DE39" i="4" s="1"/>
  <c r="DF39" i="4" s="1"/>
  <c r="DG39" i="4" s="1"/>
  <c r="DC47" i="4"/>
  <c r="DE47" i="4" s="1"/>
  <c r="DF47" i="4" s="1"/>
  <c r="DG47" i="4" s="1"/>
  <c r="DC43" i="4"/>
  <c r="DE43" i="4" s="1"/>
  <c r="DF43" i="4" s="1"/>
  <c r="DG43" i="4" s="1"/>
  <c r="BR48" i="4"/>
  <c r="BR41" i="4"/>
  <c r="BR40" i="4"/>
  <c r="BR43" i="4"/>
  <c r="BR49" i="4"/>
  <c r="BR53" i="4"/>
  <c r="BP42" i="4"/>
  <c r="DC37" i="4"/>
  <c r="DE37" i="4" s="1"/>
  <c r="DF37" i="4" s="1"/>
  <c r="DG37" i="4" s="1"/>
  <c r="BR32" i="4"/>
  <c r="BR30" i="4"/>
  <c r="BR55" i="4"/>
  <c r="BR54" i="4"/>
  <c r="BR38" i="4"/>
  <c r="BR15" i="4"/>
  <c r="CS16" i="4"/>
  <c r="BR4" i="4"/>
  <c r="BR6" i="4"/>
  <c r="BR5" i="4"/>
  <c r="CA46" i="4"/>
  <c r="CA82" i="4" s="1"/>
  <c r="BP41" i="4"/>
  <c r="BP13" i="4"/>
  <c r="BP48" i="4"/>
  <c r="BP16" i="4"/>
  <c r="BP31" i="4"/>
  <c r="DC41" i="4"/>
  <c r="DE41" i="4" s="1"/>
  <c r="DF41" i="4" s="1"/>
  <c r="DG41" i="4" s="1"/>
  <c r="DC46" i="4"/>
  <c r="DE46" i="4" s="1"/>
  <c r="DF46" i="4" s="1"/>
  <c r="DG46" i="4" s="1"/>
  <c r="DC36" i="4"/>
  <c r="DE36" i="4" s="1"/>
  <c r="DF36" i="4" s="1"/>
  <c r="DG36" i="4" s="1"/>
  <c r="DC58" i="4"/>
  <c r="DE58" i="4" s="1"/>
  <c r="DF58" i="4" s="1"/>
  <c r="DG58" i="4" s="1"/>
  <c r="DC44" i="4"/>
  <c r="DE44" i="4" s="1"/>
  <c r="DF44" i="4" s="1"/>
  <c r="DG44" i="4" s="1"/>
  <c r="DC54" i="4"/>
  <c r="DE54" i="4" s="1"/>
  <c r="DF54" i="4" s="1"/>
  <c r="DG54" i="4" s="1"/>
  <c r="BP62" i="4"/>
  <c r="BP51" i="4"/>
  <c r="BP25" i="4"/>
  <c r="BP35" i="4"/>
  <c r="BP45" i="4"/>
  <c r="BP46" i="4"/>
  <c r="DC59" i="4"/>
  <c r="DE59" i="4" s="1"/>
  <c r="DF59" i="4" s="1"/>
  <c r="DG59" i="4" s="1"/>
  <c r="DC55" i="4"/>
  <c r="DE55" i="4" s="1"/>
  <c r="DF55" i="4" s="1"/>
  <c r="DG55" i="4" s="1"/>
  <c r="DC53" i="4"/>
  <c r="DE53" i="4" s="1"/>
  <c r="DF53" i="4" s="1"/>
  <c r="DG53" i="4" s="1"/>
  <c r="DC51" i="4"/>
  <c r="DE51" i="4" s="1"/>
  <c r="DF51" i="4" s="1"/>
  <c r="DG51" i="4" s="1"/>
  <c r="BR29" i="4"/>
  <c r="BR27" i="4"/>
  <c r="BP40" i="4"/>
  <c r="BP39" i="4"/>
  <c r="BP55" i="4"/>
  <c r="BP60" i="4"/>
  <c r="BP9" i="4"/>
  <c r="BR9" i="4"/>
  <c r="DC48" i="4"/>
  <c r="DE48" i="4" s="1"/>
  <c r="DF48" i="4" s="1"/>
  <c r="DG48" i="4" s="1"/>
  <c r="DC50" i="4"/>
  <c r="DE50" i="4" s="1"/>
  <c r="DF50" i="4" s="1"/>
  <c r="DG50" i="4" s="1"/>
  <c r="DC56" i="4"/>
  <c r="DE56" i="4" s="1"/>
  <c r="DF56" i="4" s="1"/>
  <c r="DG56" i="4" s="1"/>
  <c r="DC38" i="4"/>
  <c r="DE38" i="4" s="1"/>
  <c r="DF38" i="4" s="1"/>
  <c r="DG38" i="4" s="1"/>
  <c r="DC45" i="4"/>
  <c r="DE45" i="4" s="1"/>
  <c r="DF45" i="4" s="1"/>
  <c r="DG45" i="4" s="1"/>
  <c r="BR34" i="4"/>
  <c r="BR33" i="4"/>
  <c r="BR31" i="4"/>
  <c r="BR25" i="4"/>
  <c r="BP65" i="4"/>
  <c r="BR67" i="4"/>
  <c r="BP68" i="4"/>
  <c r="BP8" i="4"/>
  <c r="BP30" i="4"/>
  <c r="BY30" i="4" s="1"/>
  <c r="BP6" i="4"/>
  <c r="BP10" i="4"/>
  <c r="BP52" i="4"/>
  <c r="BR16" i="4"/>
  <c r="BP66" i="4"/>
  <c r="BP61" i="4"/>
  <c r="BP53" i="4"/>
  <c r="BP36" i="4"/>
  <c r="BP3" i="4"/>
  <c r="BP49" i="4"/>
  <c r="BP44" i="4"/>
  <c r="BP58" i="4"/>
  <c r="BP33" i="4"/>
  <c r="BY33" i="4" s="1"/>
  <c r="BP37" i="4"/>
  <c r="BP34" i="4"/>
  <c r="BP15" i="4"/>
  <c r="BP4" i="4"/>
  <c r="BR12" i="4"/>
  <c r="BR8" i="4"/>
  <c r="BR3" i="4"/>
  <c r="BR68" i="4"/>
  <c r="BP47" i="4"/>
  <c r="BP54" i="4"/>
  <c r="BP11" i="4"/>
  <c r="BP59" i="4"/>
  <c r="BP32" i="4"/>
  <c r="BP28" i="4"/>
  <c r="BP29" i="4"/>
  <c r="BP27" i="4"/>
  <c r="BP43" i="4"/>
  <c r="BP50" i="4"/>
  <c r="BP5" i="4"/>
  <c r="BR7" i="4"/>
  <c r="BR11" i="4"/>
  <c r="BR14" i="4"/>
  <c r="BR64" i="4"/>
  <c r="BR69" i="4"/>
  <c r="BR65" i="4"/>
  <c r="CS34" i="4"/>
  <c r="BR63" i="4"/>
  <c r="BR61" i="4"/>
  <c r="BR66" i="4"/>
  <c r="CM69" i="4"/>
  <c r="BR35" i="4"/>
  <c r="BR50" i="4"/>
  <c r="BR45" i="4"/>
  <c r="BR42" i="4"/>
  <c r="BR47" i="4"/>
  <c r="BR39" i="4"/>
  <c r="BR37" i="4"/>
  <c r="BR60" i="4"/>
  <c r="BR46" i="4"/>
  <c r="BR51" i="4"/>
  <c r="CJ65" i="4"/>
  <c r="CJ82" i="4" s="1"/>
  <c r="BT63" i="6"/>
  <c r="BT57" i="6"/>
  <c r="BT62" i="6"/>
  <c r="BT64" i="6"/>
  <c r="BT61" i="6"/>
  <c r="BP63" i="4"/>
  <c r="AN75" i="4"/>
  <c r="DH34" i="4"/>
  <c r="ED28" i="4" s="1"/>
  <c r="BP69" i="4"/>
  <c r="BP64" i="4"/>
  <c r="DI69" i="4"/>
  <c r="ED38" i="4" s="1"/>
  <c r="EG2" i="6"/>
  <c r="AQ71" i="6"/>
  <c r="BY63" i="4" l="1"/>
  <c r="CS82" i="4"/>
  <c r="H22" i="7"/>
  <c r="H16" i="7"/>
  <c r="Z32" i="7"/>
  <c r="H10" i="7"/>
  <c r="BY27" i="4"/>
  <c r="BY29" i="4"/>
  <c r="CC41" i="6"/>
  <c r="CC20" i="6"/>
  <c r="CC31" i="6"/>
  <c r="CC32" i="6"/>
  <c r="CC59" i="6"/>
  <c r="CC60" i="6"/>
  <c r="CC64" i="6"/>
  <c r="CW80" i="6"/>
  <c r="DM32" i="6"/>
  <c r="EG28" i="6" s="1"/>
  <c r="CC25" i="6"/>
  <c r="CC52" i="6"/>
  <c r="CC46" i="6"/>
  <c r="CC42" i="6"/>
  <c r="DN66" i="6"/>
  <c r="EG38" i="6" s="1"/>
  <c r="BY25" i="4"/>
  <c r="BY31" i="4"/>
  <c r="BY28" i="4"/>
  <c r="BY69" i="4"/>
  <c r="BY68" i="4"/>
  <c r="BY64" i="4"/>
  <c r="BY66" i="4"/>
  <c r="BY34" i="4"/>
  <c r="BY32" i="4"/>
  <c r="BY17" i="4"/>
  <c r="BY23" i="4"/>
  <c r="CE80" i="6"/>
  <c r="CQ80" i="6"/>
  <c r="CC8" i="6"/>
  <c r="CC12" i="6"/>
  <c r="BY49" i="4"/>
  <c r="BY19" i="4"/>
  <c r="BY10" i="4"/>
  <c r="BY21" i="4"/>
  <c r="BY61" i="4"/>
  <c r="BY65" i="4"/>
  <c r="BY67" i="4"/>
  <c r="BY14" i="4"/>
  <c r="CC10" i="6"/>
  <c r="CC17" i="6"/>
  <c r="CC39" i="6"/>
  <c r="CC38" i="6"/>
  <c r="CC43" i="6"/>
  <c r="CC45" i="6"/>
  <c r="CC50" i="6"/>
  <c r="CC37" i="6"/>
  <c r="CC33" i="6"/>
  <c r="BY54" i="4"/>
  <c r="BY58" i="4"/>
  <c r="BY50" i="4"/>
  <c r="BY44" i="4"/>
  <c r="BY53" i="4"/>
  <c r="BY52" i="4"/>
  <c r="BY55" i="4"/>
  <c r="BY41" i="4"/>
  <c r="BY42" i="4"/>
  <c r="BY47" i="4"/>
  <c r="BY35" i="4"/>
  <c r="BY45" i="4"/>
  <c r="BY48" i="4"/>
  <c r="BY59" i="4"/>
  <c r="BY43" i="4"/>
  <c r="BY37" i="4"/>
  <c r="BY39" i="4"/>
  <c r="BY36" i="4"/>
  <c r="BY60" i="4"/>
  <c r="BY40" i="4"/>
  <c r="BY46" i="4"/>
  <c r="BY51" i="4"/>
  <c r="BY38" i="4"/>
  <c r="CC62" i="6"/>
  <c r="CC9" i="6"/>
  <c r="CC58" i="6"/>
  <c r="CC23" i="6"/>
  <c r="CC57" i="6"/>
  <c r="CC51" i="6"/>
  <c r="CC3" i="6"/>
  <c r="CC27" i="6"/>
  <c r="CC44" i="6"/>
  <c r="CC49" i="6"/>
  <c r="CC26" i="6"/>
  <c r="CC13" i="6"/>
  <c r="CC65" i="6"/>
  <c r="CC61" i="6"/>
  <c r="CC63" i="6"/>
  <c r="CC7" i="6"/>
  <c r="CC56" i="6"/>
  <c r="CC19" i="6"/>
  <c r="CC48" i="6"/>
  <c r="CC15" i="6"/>
  <c r="CC22" i="6"/>
  <c r="CC4" i="6"/>
  <c r="CC18" i="6"/>
  <c r="CC5" i="6"/>
  <c r="CC16" i="6"/>
  <c r="CC21" i="6"/>
  <c r="CC14" i="6"/>
  <c r="CC11" i="6"/>
  <c r="CC6" i="6"/>
  <c r="CC24" i="6"/>
  <c r="CC40" i="6"/>
  <c r="CC53" i="6"/>
  <c r="CC35" i="6"/>
  <c r="CC30" i="6"/>
  <c r="CC28" i="6"/>
  <c r="CC47" i="6"/>
  <c r="CC55" i="6"/>
  <c r="CC36" i="6"/>
  <c r="CC29" i="6"/>
  <c r="CC54" i="6"/>
  <c r="CC34" i="6"/>
  <c r="DN56" i="6"/>
  <c r="EG18" i="6" s="1"/>
  <c r="BY24" i="4"/>
  <c r="BY4" i="4"/>
  <c r="BY3" i="4"/>
  <c r="BY6" i="4"/>
  <c r="BY20" i="4"/>
  <c r="BY9" i="4"/>
  <c r="BY12" i="4"/>
  <c r="BY5" i="4"/>
  <c r="BY11" i="4"/>
  <c r="BY15" i="4"/>
  <c r="BY13" i="4"/>
  <c r="BY8" i="4"/>
  <c r="BY16" i="4"/>
  <c r="BY7" i="4"/>
  <c r="BY18" i="4"/>
  <c r="BY22" i="4"/>
  <c r="BY56" i="4"/>
  <c r="BY62" i="4"/>
  <c r="BY26" i="4"/>
  <c r="BY57" i="4"/>
  <c r="DM22" i="6"/>
  <c r="EG3" i="6" s="1"/>
  <c r="DI60" i="4"/>
  <c r="ED18" i="4" s="1"/>
  <c r="CM82" i="4"/>
  <c r="CY80" i="6" l="1"/>
  <c r="CU82" i="4"/>
</calcChain>
</file>

<file path=xl/sharedStrings.xml><?xml version="1.0" encoding="utf-8"?>
<sst xmlns="http://schemas.openxmlformats.org/spreadsheetml/2006/main" count="4262" uniqueCount="1257">
  <si>
    <t>Shell Type</t>
  </si>
  <si>
    <t>Drum Type</t>
  </si>
  <si>
    <t>Size</t>
  </si>
  <si>
    <t>Finish</t>
  </si>
  <si>
    <t>Bass Hoops</t>
  </si>
  <si>
    <t>PO</t>
  </si>
  <si>
    <t>Lugs</t>
  </si>
  <si>
    <t>Tom Holder</t>
  </si>
  <si>
    <t>LH</t>
  </si>
  <si>
    <t>Spurs</t>
  </si>
  <si>
    <t>Shell Mount</t>
  </si>
  <si>
    <t>Left Front Placement</t>
  </si>
  <si>
    <t>Right Front Placement</t>
  </si>
  <si>
    <t>Left Back Placement</t>
  </si>
  <si>
    <t>Right Back Placement</t>
  </si>
  <si>
    <t>Legs</t>
  </si>
  <si>
    <t>Tom Bracket</t>
  </si>
  <si>
    <t>Tone Control</t>
  </si>
  <si>
    <t>Throwoff</t>
  </si>
  <si>
    <t>Butt</t>
  </si>
  <si>
    <t>P70</t>
  </si>
  <si>
    <t>P71</t>
  </si>
  <si>
    <t>Hoops</t>
  </si>
  <si>
    <t>Batter Head</t>
  </si>
  <si>
    <t>Reso Head</t>
  </si>
  <si>
    <t>Badge</t>
  </si>
  <si>
    <t>X</t>
  </si>
  <si>
    <t>LX</t>
  </si>
  <si>
    <t>LS</t>
  </si>
  <si>
    <t>size</t>
  </si>
  <si>
    <t>Shell</t>
  </si>
  <si>
    <t>finish</t>
  </si>
  <si>
    <t>lugs</t>
  </si>
  <si>
    <t>badge</t>
  </si>
  <si>
    <t>Right or Left Handed</t>
  </si>
  <si>
    <t>Left Front</t>
  </si>
  <si>
    <t>Right Front</t>
  </si>
  <si>
    <t>Left Back</t>
  </si>
  <si>
    <t>Right Back</t>
  </si>
  <si>
    <t>Tension Screws</t>
  </si>
  <si>
    <t>Tom</t>
  </si>
  <si>
    <t>Floor</t>
  </si>
  <si>
    <t>Snare</t>
  </si>
  <si>
    <t>14x18 Bass Drum</t>
  </si>
  <si>
    <t>16x18 Bass Drum</t>
  </si>
  <si>
    <t>14x20 Bass Drum</t>
  </si>
  <si>
    <t>16x20 Bass Drum</t>
  </si>
  <si>
    <t>18x20 Bass Drum</t>
  </si>
  <si>
    <t>14x22 Bass Drum</t>
  </si>
  <si>
    <t>16x22 Bass Drum</t>
  </si>
  <si>
    <t>18x22 Bass Drum</t>
  </si>
  <si>
    <t>20x22 Bass Drum</t>
  </si>
  <si>
    <t>14x24 Bass Drum</t>
  </si>
  <si>
    <t>16x24 Bass Drum</t>
  </si>
  <si>
    <t>18x24 Bass Drum</t>
  </si>
  <si>
    <t>20x24 Bass Drum</t>
  </si>
  <si>
    <t>14x26 Bass Drum</t>
  </si>
  <si>
    <t>16x26 Bass Drum</t>
  </si>
  <si>
    <t>12x14 Floor Tom</t>
  </si>
  <si>
    <t>13x14 Floor Tom</t>
  </si>
  <si>
    <t>14x14 Floor Tom</t>
  </si>
  <si>
    <t>13x15 Floor Tom</t>
  </si>
  <si>
    <t>14x15 Floor Tom</t>
  </si>
  <si>
    <t>13x16 Floor Tom</t>
  </si>
  <si>
    <t>14x16 Floor Tom</t>
  </si>
  <si>
    <t>15x16 Floor Tom</t>
  </si>
  <si>
    <t>16x16 Floor Tom</t>
  </si>
  <si>
    <t>16x18 Floor Tom</t>
  </si>
  <si>
    <t>8x6 Tom Tom</t>
  </si>
  <si>
    <t>8x8 Tom Tom</t>
  </si>
  <si>
    <t>7x8 Tom Tom</t>
  </si>
  <si>
    <t>7x10 Tom Tom</t>
  </si>
  <si>
    <t>8x10 Tom Tom</t>
  </si>
  <si>
    <t>9x10 Tom Tom</t>
  </si>
  <si>
    <t>8x12 Tom Tom</t>
  </si>
  <si>
    <t>9x12 Tom Tom</t>
  </si>
  <si>
    <t>10x12 Tom Tom</t>
  </si>
  <si>
    <t>11x12 Tom Tom</t>
  </si>
  <si>
    <t>9x13 Tom Tom</t>
  </si>
  <si>
    <t>10x13 Tom Tom</t>
  </si>
  <si>
    <t>11x13 Tom Tom</t>
  </si>
  <si>
    <t>12x13 Tom Tom</t>
  </si>
  <si>
    <t>10x14 Tom Tom</t>
  </si>
  <si>
    <t>11x14 Tom Tom</t>
  </si>
  <si>
    <t>12x14 Tom Tom</t>
  </si>
  <si>
    <t>13x14 Tom Tom</t>
  </si>
  <si>
    <t>14x14 Tom Tom</t>
  </si>
  <si>
    <t>12x15 Tom Tom</t>
  </si>
  <si>
    <t>13x15 Tom Tom</t>
  </si>
  <si>
    <t>14x15 Tom Tom</t>
  </si>
  <si>
    <t>14x16 Tom Tom</t>
  </si>
  <si>
    <t>16x16 Tom Tom</t>
  </si>
  <si>
    <t>6x12 Snare</t>
  </si>
  <si>
    <t>3Hx13 Snare</t>
  </si>
  <si>
    <t>6x13 Snare</t>
  </si>
  <si>
    <t>3Hx14 Snare</t>
  </si>
  <si>
    <t>5x14 Snare</t>
  </si>
  <si>
    <t>6Hx14 Snare</t>
  </si>
  <si>
    <t>8x14 Snare</t>
  </si>
  <si>
    <t>5x14 8 Lug Snare</t>
  </si>
  <si>
    <t>6Hx14 8 Lug Snare</t>
  </si>
  <si>
    <t>27 Red Sparkle</t>
  </si>
  <si>
    <t>32 Blue Sparkle</t>
  </si>
  <si>
    <t>33 Gold Sparkle</t>
  </si>
  <si>
    <t>35 Customer Supply</t>
  </si>
  <si>
    <t>50 Birdseye Maple</t>
  </si>
  <si>
    <t>52 Sky Blue Pearl</t>
  </si>
  <si>
    <t>53 African Bubinga</t>
  </si>
  <si>
    <t>54 Green Sparkle</t>
  </si>
  <si>
    <t>57 Black Cherry</t>
  </si>
  <si>
    <t>58 Black Walnut</t>
  </si>
  <si>
    <t>62 Makore</t>
  </si>
  <si>
    <t>63 Pearwood</t>
  </si>
  <si>
    <t>65 Pomele Sapele</t>
  </si>
  <si>
    <t>66 East Indian Rosewood</t>
  </si>
  <si>
    <t>68 Quilted Makore</t>
  </si>
  <si>
    <t>88 Indigo Sparkle</t>
  </si>
  <si>
    <t>0C Champagne Sparkle</t>
  </si>
  <si>
    <t>0F White Cortex</t>
  </si>
  <si>
    <t>0G Black Cortex</t>
  </si>
  <si>
    <t>0L Cherry Stain</t>
  </si>
  <si>
    <t>0M Mahogany Stain</t>
  </si>
  <si>
    <t>0N Natural Maple</t>
  </si>
  <si>
    <t>0P White Marine Pearl</t>
  </si>
  <si>
    <t>0Q Black Oyster Pearl</t>
  </si>
  <si>
    <t>0R Black Sparkle</t>
  </si>
  <si>
    <t>0S Silver Sparkle</t>
  </si>
  <si>
    <t>0T Sable Classic Coat</t>
  </si>
  <si>
    <t>0Y Charcoal Shadow</t>
  </si>
  <si>
    <t>1Q Vintage Black Oyster</t>
  </si>
  <si>
    <t>1V Silver Glass Glitter</t>
  </si>
  <si>
    <t>BG Black Galaxy</t>
  </si>
  <si>
    <t>Hoop Inlay</t>
  </si>
  <si>
    <t>Bass Drum Hoops</t>
  </si>
  <si>
    <t>MH Matching Hoop</t>
  </si>
  <si>
    <t>0Ta Sable Black w/Accent Inlay</t>
  </si>
  <si>
    <t>0Na Natural w/Accent Inlay</t>
  </si>
  <si>
    <t>0T Sable Hoop</t>
  </si>
  <si>
    <t>0N Natural Hoop</t>
  </si>
  <si>
    <t>Mini Classic</t>
  </si>
  <si>
    <t>Bass</t>
  </si>
  <si>
    <t>Large</t>
  </si>
  <si>
    <t>Classic</t>
  </si>
  <si>
    <t>Mini</t>
  </si>
  <si>
    <t>Long</t>
  </si>
  <si>
    <t>(Mach)</t>
  </si>
  <si>
    <t>Small Twin</t>
  </si>
  <si>
    <t>Large Twin</t>
  </si>
  <si>
    <t>Tube</t>
  </si>
  <si>
    <t>Hardware Finish</t>
  </si>
  <si>
    <t>Chrome</t>
  </si>
  <si>
    <t>Brass</t>
  </si>
  <si>
    <t>NMT Less Mount and Holder</t>
  </si>
  <si>
    <t>P7184A Elite Bass Casting</t>
  </si>
  <si>
    <t>LR2991MT Elite Single Tom Holder</t>
  </si>
  <si>
    <t>LR2992MT Classic Double Tom Holder</t>
  </si>
  <si>
    <t xml:space="preserve">P1610D Ludwig Bass Casting </t>
  </si>
  <si>
    <t>LR2981MT Rocker Single Tom Holder</t>
  </si>
  <si>
    <t>LR2980MT Rocker Double Tom Holder</t>
  </si>
  <si>
    <t>LR2983MT Rail Consolette 9.5mm</t>
  </si>
  <si>
    <t>LR2993MT Rail Consolette 10.5mm</t>
  </si>
  <si>
    <t>Right Handed</t>
  </si>
  <si>
    <t>Left Handed</t>
  </si>
  <si>
    <t>LR2974SP Elite Kick Spur</t>
  </si>
  <si>
    <t>LR2973SP Rocker Rotating Spur</t>
  </si>
  <si>
    <t>LC1308SP Curved Spur</t>
  </si>
  <si>
    <t>LC1308SP2 2 Pr. Curved Spurs</t>
  </si>
  <si>
    <t>NSP No Spurs or Drilling</t>
  </si>
  <si>
    <t>Shell Mount Cymbal Holder</t>
  </si>
  <si>
    <t>Bass Spurs</t>
  </si>
  <si>
    <t>None</t>
  </si>
  <si>
    <t>Classic P1216 Brkt</t>
  </si>
  <si>
    <t>Keystone P7202 Brkt</t>
  </si>
  <si>
    <t>NBKT No Mounting Bracket</t>
  </si>
  <si>
    <t xml:space="preserve">P1216D Classic Ludwig Bracket </t>
  </si>
  <si>
    <t>L_RL Vibraband w/ Ludwig Brkt</t>
  </si>
  <si>
    <t>P7202A Keystone Tom Bracket</t>
  </si>
  <si>
    <t>L_RK Vibraband w/ Keystone Bracket</t>
  </si>
  <si>
    <t>P1762B Modular Tom Bracket</t>
  </si>
  <si>
    <t>Bass Screws</t>
  </si>
  <si>
    <t>K Keyrods</t>
  </si>
  <si>
    <t>T "T"-Handles</t>
  </si>
  <si>
    <t>Floor Tom Legs</t>
  </si>
  <si>
    <t>LC5023TL Ludwig Floor Tom Legs</t>
  </si>
  <si>
    <t>LC7202TL Keystone Floor Tom Legs</t>
  </si>
  <si>
    <t>LTL No Legs or Brackets</t>
  </si>
  <si>
    <t>N  No tone Control</t>
  </si>
  <si>
    <t>Y  Internal Tone Control</t>
  </si>
  <si>
    <t>Snare Throwoff</t>
  </si>
  <si>
    <t>P85 Supraphonic Strainer</t>
  </si>
  <si>
    <t>P86 Millennium Strainer</t>
  </si>
  <si>
    <t>P80 Piccolo Strainer</t>
  </si>
  <si>
    <t>P70 Super Sensitive</t>
  </si>
  <si>
    <t>P71 Super Sensitive</t>
  </si>
  <si>
    <t>Snare Butt</t>
  </si>
  <si>
    <t>P33 die cast butt</t>
  </si>
  <si>
    <t>P32 stamped butt</t>
  </si>
  <si>
    <t>Snare Hoops</t>
  </si>
  <si>
    <t>3F Triple Flanged</t>
  </si>
  <si>
    <t>PDC Die Cast Hoops</t>
  </si>
  <si>
    <t>Toms</t>
  </si>
  <si>
    <t xml:space="preserve">43 Hvy Coated </t>
  </si>
  <si>
    <t xml:space="preserve">33 Med Coated </t>
  </si>
  <si>
    <t>BO Blue/Olive</t>
  </si>
  <si>
    <t>Selected</t>
  </si>
  <si>
    <t>Is num</t>
  </si>
  <si>
    <t>Qty</t>
  </si>
  <si>
    <t xml:space="preserve">Bass Drum Selected </t>
  </si>
  <si>
    <t>Floor Tom Selected</t>
  </si>
  <si>
    <t>Tom Tom Selected</t>
  </si>
  <si>
    <t>Snare Drum Selected</t>
  </si>
  <si>
    <t>bd</t>
  </si>
  <si>
    <t>ft</t>
  </si>
  <si>
    <t>tt</t>
  </si>
  <si>
    <t>sd</t>
  </si>
  <si>
    <t>0Ti Sable Black w/Matching Inlay</t>
  </si>
  <si>
    <t>0Ni Natural w/Matching Inlay</t>
  </si>
  <si>
    <t>Drum Size</t>
  </si>
  <si>
    <t xml:space="preserve">Drum Size </t>
  </si>
  <si>
    <t>BTF upcharge</t>
  </si>
  <si>
    <t>SD Upcharge</t>
  </si>
  <si>
    <t>bd Selected</t>
  </si>
  <si>
    <t>tt Selected</t>
  </si>
  <si>
    <t>sd Selected</t>
  </si>
  <si>
    <t>Option Pricing</t>
  </si>
  <si>
    <t>BTF Finish</t>
  </si>
  <si>
    <t>SD Finish</t>
  </si>
  <si>
    <t>Upcharge</t>
  </si>
  <si>
    <t>upcharge</t>
  </si>
  <si>
    <t>Holder,</t>
  </si>
  <si>
    <t>legs, brkt</t>
  </si>
  <si>
    <t>Tone Cntr</t>
  </si>
  <si>
    <t>Tone Control on Tom/Floor</t>
  </si>
  <si>
    <t>Tone Control on Snare</t>
  </si>
  <si>
    <t>N  No Tone Control</t>
  </si>
  <si>
    <t>Tone Control on TOMS</t>
  </si>
  <si>
    <t>Mount</t>
  </si>
  <si>
    <t>Screws</t>
  </si>
  <si>
    <t>Tone Cntrl</t>
  </si>
  <si>
    <t>Die Cast</t>
  </si>
  <si>
    <t>Total</t>
  </si>
  <si>
    <t>Options</t>
  </si>
  <si>
    <t>Accepts a 1" tube</t>
  </si>
  <si>
    <t>Placed 4" from the front batter head on 14" deep drums</t>
  </si>
  <si>
    <t>Placed 5.5" from the front edge of 16" deep drums</t>
  </si>
  <si>
    <t>Place 7.5" from the front of 18" or 20" deep drums</t>
  </si>
  <si>
    <t>Placed 5" from the front if for a double tom holder</t>
  </si>
  <si>
    <t>Placed 7" from the front for a single tom holder</t>
  </si>
  <si>
    <t>Elite Single Tom Holder</t>
  </si>
  <si>
    <t>Holds Keystone Tom Brackets</t>
  </si>
  <si>
    <t>Classic Double Tom Holder</t>
  </si>
  <si>
    <t>Rocker Single Tom Holder</t>
  </si>
  <si>
    <t>Holds Classic P1216 Or Keystone Backets</t>
  </si>
  <si>
    <t>Rocker Double Tom Holder</t>
  </si>
  <si>
    <t>Placed 4" from the front head on 14" deep drums</t>
  </si>
  <si>
    <t>Placed 5" from Front head</t>
  </si>
  <si>
    <t>Placed 7" from the front head</t>
  </si>
  <si>
    <t>Tom Holders</t>
  </si>
  <si>
    <t>P85 Supraphonic</t>
  </si>
  <si>
    <t>Adjustable tension</t>
  </si>
  <si>
    <t>P86 Millennium</t>
  </si>
  <si>
    <t>Side Lever action</t>
  </si>
  <si>
    <t>Adjustable Tension</t>
  </si>
  <si>
    <t>Use on 5" and deeper drums</t>
  </si>
  <si>
    <t>Use on 5" and Deeper drums</t>
  </si>
  <si>
    <t>P70 SuperSensitive</t>
  </si>
  <si>
    <t>use on 5" deep drums</t>
  </si>
  <si>
    <t>Use on 6.5" deep drums</t>
  </si>
  <si>
    <t>Double end throwoff</t>
  </si>
  <si>
    <t>Snare contact over entire head</t>
  </si>
  <si>
    <t>Adjustable Tension and pressure</t>
  </si>
  <si>
    <t>For best results, enable macros.</t>
  </si>
  <si>
    <t>Top Lever action</t>
  </si>
  <si>
    <t xml:space="preserve">This clamp style bracket works on </t>
  </si>
  <si>
    <t xml:space="preserve">either 9.5mm or 10.5mm posts.  </t>
  </si>
  <si>
    <t>For this application the Keystone bracket will come with a form-fitted mounting plate to go on</t>
  </si>
  <si>
    <t>the vibraband to minimize the provile of the mounting hardware and maximize the appearance</t>
  </si>
  <si>
    <t>of your drum.</t>
  </si>
  <si>
    <t xml:space="preserve">Vibraband.  This bracket works only with 9.5mm posts.  </t>
  </si>
  <si>
    <t xml:space="preserve">The P33 die cast butt is standard on most Ludwig snares.  </t>
  </si>
  <si>
    <t>Works with tape or string to hold traditional snares.  Clamp</t>
  </si>
  <si>
    <t>action is tightened with a drum key.</t>
  </si>
  <si>
    <t>LGK Large Gold Keystone</t>
  </si>
  <si>
    <t xml:space="preserve">Both the Elite (LR2974SP) and Rocker (LR2973SP) are kickstand style spurs with extendable legs to fit </t>
  </si>
  <si>
    <t>all sizes of bass drums.  Both have rubber tips that can be dialed back to expose sharp points for extra</t>
  </si>
  <si>
    <t xml:space="preserve">The 1308 Curved Spur has a unique look that </t>
  </si>
  <si>
    <t>has been popular for decades.  Available on drums</t>
  </si>
  <si>
    <t xml:space="preserve">22" diameter and larger.  For extra support, drums </t>
  </si>
  <si>
    <t xml:space="preserve"> Shell Mount Cymbal Holder</t>
  </si>
  <si>
    <t>Small Twin Lugs</t>
  </si>
  <si>
    <t>Tube Lugs</t>
  </si>
  <si>
    <t xml:space="preserve">P2217 lugs are standard on </t>
  </si>
  <si>
    <t>3.5" deep piccolo snares.</t>
  </si>
  <si>
    <t>Large Twin Lugs</t>
  </si>
  <si>
    <t xml:space="preserve">P2239 is the large version of the </t>
  </si>
  <si>
    <t xml:space="preserve">Classic Bow Tie lug.  Standard on </t>
  </si>
  <si>
    <t xml:space="preserve">6.5" and 8" deep snares. </t>
  </si>
  <si>
    <t xml:space="preserve">deep snare drums.  </t>
  </si>
  <si>
    <t xml:space="preserve">P2253 tube lugs are an option on 5", 6" and 6.5" </t>
  </si>
  <si>
    <t xml:space="preserve">P22531 tube lugs are an option on 3.5" deep piccolo snares. </t>
  </si>
  <si>
    <t xml:space="preserve">on 6.5" deep snares.  </t>
  </si>
  <si>
    <t>5X14 Snare with Small Twin Lugs</t>
  </si>
  <si>
    <t>6.5x14 wth Large Twin Lugs</t>
  </si>
  <si>
    <t>8x14 with Large Twin Lugs</t>
  </si>
  <si>
    <t>5x14 with Tube Lugs</t>
  </si>
  <si>
    <t>P2240 lugs are standard on 5", and</t>
  </si>
  <si>
    <t>6" deep snare drums and an option</t>
  </si>
  <si>
    <t>Snare Drum Lugs</t>
  </si>
  <si>
    <t>Snare Butts</t>
  </si>
  <si>
    <t>Tom Tom Brackets</t>
  </si>
  <si>
    <t>Notes on Tom Brackets:</t>
  </si>
  <si>
    <t xml:space="preserve">Classic Legs and Brackets.  </t>
  </si>
  <si>
    <t>Keystone Legs and Brackets</t>
  </si>
  <si>
    <t xml:space="preserve">Three P1216D brackets with 23" long 9.5mm legs. </t>
  </si>
  <si>
    <t>Three P7202A Keystone brackets with 17" long 10.5mm legs.</t>
  </si>
  <si>
    <t>The P32 is the old school stamped steel snare butt works with tape or string to</t>
  </si>
  <si>
    <t>hold traditional snares.  Clamp is tightened with a phillips or flat screwdriver.</t>
  </si>
  <si>
    <t>Be sure to select right or left handed position.</t>
  </si>
  <si>
    <r>
      <rPr>
        <b/>
        <sz val="10"/>
        <color theme="1"/>
        <rFont val="Calibri"/>
        <family val="2"/>
        <scheme val="minor"/>
      </rPr>
      <t>LR2993MT</t>
    </r>
    <r>
      <rPr>
        <sz val="10"/>
        <color theme="1"/>
        <rFont val="Calibri"/>
        <family val="2"/>
        <scheme val="minor"/>
      </rPr>
      <t xml:space="preserve"> Rail Consolette Tom Holder (10.5mm)</t>
    </r>
  </si>
  <si>
    <t>Works with Classic P1216D or Keystone P7202A tom bracket</t>
  </si>
  <si>
    <t>M P L B D C U S T O M</t>
  </si>
  <si>
    <t>M P L F T C U S T O M</t>
  </si>
  <si>
    <t>M P L T T C U S T O M</t>
  </si>
  <si>
    <t>M P L S D C U S T O M</t>
  </si>
  <si>
    <t>Order Total</t>
  </si>
  <si>
    <t>Series</t>
  </si>
  <si>
    <t>PM0046  Atlas Floor Tom Legs</t>
  </si>
  <si>
    <t>PM0046 Atlas Floor Tom Legs</t>
  </si>
  <si>
    <t>PM0046 Atlas Tom Bracket</t>
  </si>
  <si>
    <t>RN Golden Slumbers</t>
  </si>
  <si>
    <t>AB Aqua Burst</t>
  </si>
  <si>
    <t>NM Vintage White Marine</t>
  </si>
  <si>
    <t>Small</t>
  </si>
  <si>
    <t>Twin</t>
  </si>
  <si>
    <t>14x18</t>
  </si>
  <si>
    <t>16x18</t>
  </si>
  <si>
    <t>14x20</t>
  </si>
  <si>
    <t>16x20</t>
  </si>
  <si>
    <t>18x20</t>
  </si>
  <si>
    <t>14x22</t>
  </si>
  <si>
    <t>16x22</t>
  </si>
  <si>
    <t>18x22</t>
  </si>
  <si>
    <t>20x22</t>
  </si>
  <si>
    <t>14x24</t>
  </si>
  <si>
    <t>16x24</t>
  </si>
  <si>
    <t>18x24</t>
  </si>
  <si>
    <t>20x24</t>
  </si>
  <si>
    <t>14x26</t>
  </si>
  <si>
    <t>16x26</t>
  </si>
  <si>
    <t>12x14</t>
  </si>
  <si>
    <t>13x14</t>
  </si>
  <si>
    <t>14x14</t>
  </si>
  <si>
    <t>13x15</t>
  </si>
  <si>
    <t>14x15</t>
  </si>
  <si>
    <t>13x16</t>
  </si>
  <si>
    <t>14x16</t>
  </si>
  <si>
    <t>15x16</t>
  </si>
  <si>
    <t>16x16</t>
  </si>
  <si>
    <t>8x6</t>
  </si>
  <si>
    <t>8x8</t>
  </si>
  <si>
    <t>7x8</t>
  </si>
  <si>
    <t>7x10</t>
  </si>
  <si>
    <t>8x10</t>
  </si>
  <si>
    <t>9x10</t>
  </si>
  <si>
    <t>8x12</t>
  </si>
  <si>
    <t>9x12</t>
  </si>
  <si>
    <t>10x12</t>
  </si>
  <si>
    <t>11x12</t>
  </si>
  <si>
    <t>9x13</t>
  </si>
  <si>
    <t>10x13</t>
  </si>
  <si>
    <t>11x13</t>
  </si>
  <si>
    <t>12x13</t>
  </si>
  <si>
    <t>10x14</t>
  </si>
  <si>
    <t>11x14</t>
  </si>
  <si>
    <t>12x15</t>
  </si>
  <si>
    <t>6x12</t>
  </si>
  <si>
    <t>3Hx13</t>
  </si>
  <si>
    <t>6x13</t>
  </si>
  <si>
    <t>3Hx14</t>
  </si>
  <si>
    <t>5x14</t>
  </si>
  <si>
    <t>6Hx14</t>
  </si>
  <si>
    <t>8x14</t>
  </si>
  <si>
    <t>5x14 8 Lug</t>
  </si>
  <si>
    <t>6Hx14 8 Lug</t>
  </si>
  <si>
    <t>IF</t>
  </si>
  <si>
    <t>Bass Drum</t>
  </si>
  <si>
    <t>Clawhooks</t>
  </si>
  <si>
    <t>Resonant Head</t>
  </si>
  <si>
    <t>ML Mini Classic</t>
  </si>
  <si>
    <t>CL Large Classic</t>
  </si>
  <si>
    <t>LL Long Lugs</t>
  </si>
  <si>
    <t>ST Small Twin</t>
  </si>
  <si>
    <t>LT Large Twin</t>
  </si>
  <si>
    <t>TB Tube</t>
  </si>
  <si>
    <t>Accent Color</t>
  </si>
  <si>
    <t>P2306 Die Cast</t>
  </si>
  <si>
    <t>Bass Claws</t>
  </si>
  <si>
    <t>P2308 New Classic</t>
  </si>
  <si>
    <t>.</t>
  </si>
  <si>
    <t>Floor Tom</t>
  </si>
  <si>
    <t>Tom Tom</t>
  </si>
  <si>
    <t>Basses</t>
  </si>
  <si>
    <t>Floors</t>
  </si>
  <si>
    <t>Snares</t>
  </si>
  <si>
    <t>Safeguards</t>
  </si>
  <si>
    <t>Matching Bass Hoops</t>
  </si>
  <si>
    <t>Output (print area)</t>
  </si>
  <si>
    <t>Tom Holder vs Tom Bracket</t>
  </si>
  <si>
    <t>10.5 mm Tom holder</t>
  </si>
  <si>
    <t>returns a 1 if 10.5mm tom holder</t>
  </si>
  <si>
    <t>Tom brackets that won't work with 10.5mm</t>
  </si>
  <si>
    <t>returns a 1 if &lt;&gt; 10.5mm</t>
  </si>
  <si>
    <t>Error if &gt;1</t>
  </si>
  <si>
    <t>LR2992MT Classic Double</t>
  </si>
  <si>
    <t>9.5mm Tom Holder</t>
  </si>
  <si>
    <t>Tom brackets that won't work with 9.5mm</t>
  </si>
  <si>
    <t>returns a 1 if 9.5mm tom holder</t>
  </si>
  <si>
    <t>Returns a 1 if any error</t>
  </si>
  <si>
    <t>Tom Brkt vs Floor Tom Leg</t>
  </si>
  <si>
    <t>Ludwig Tom Brkts and Keystone FT Legs</t>
  </si>
  <si>
    <t>Keystone Tom Brkts and Ludwig FT Legs</t>
  </si>
  <si>
    <t>Returns a 1 if any error.</t>
  </si>
  <si>
    <t>TOM BRACKET/FT LEG MIS-MATCH</t>
  </si>
  <si>
    <t>Brass vs. Everything</t>
  </si>
  <si>
    <t>Anti-Brass Sizes</t>
  </si>
  <si>
    <t>Anti Brass Lugs</t>
  </si>
  <si>
    <t>Long Lugs</t>
  </si>
  <si>
    <t>Anti Brass Spurs</t>
  </si>
  <si>
    <t>Claws</t>
  </si>
  <si>
    <t>Total Anti-brass Choices</t>
  </si>
  <si>
    <t>BRASS HARDWARE chosen</t>
  </si>
  <si>
    <t>returns a 1 if plating error.</t>
  </si>
  <si>
    <t>Tone Control (toms)</t>
  </si>
  <si>
    <t>Tone Control (snare)</t>
  </si>
  <si>
    <t>3F hoop on snare</t>
  </si>
  <si>
    <t>Bass Hoops for Wrap Drums</t>
  </si>
  <si>
    <t>returns a 1 if mis-match</t>
  </si>
  <si>
    <t>Wrap Finishes</t>
  </si>
  <si>
    <t>Wraps</t>
  </si>
  <si>
    <t>Returns a 1 if error</t>
  </si>
  <si>
    <t>Returns a 1 if ANY error</t>
  </si>
  <si>
    <t>Bass Drum Hoop Error</t>
  </si>
  <si>
    <t>Size vs. Lugs</t>
  </si>
  <si>
    <t>Sum of Conflict sizes</t>
  </si>
  <si>
    <t>Error if &gt; 0</t>
  </si>
  <si>
    <t>Size vs Mini Classic</t>
  </si>
  <si>
    <t>Size vs. Lg Classic lugs.</t>
  </si>
  <si>
    <t>Lg Classic Lugs (TT)</t>
  </si>
  <si>
    <t>Mini lugs (SD)</t>
  </si>
  <si>
    <t>Sum of Conflict Sizes</t>
  </si>
  <si>
    <t>Size vs. Long Lugs</t>
  </si>
  <si>
    <t>Long Lugs (tt)</t>
  </si>
  <si>
    <t>Error if &gt;0</t>
  </si>
  <si>
    <t>Size vs. Small Twin</t>
  </si>
  <si>
    <t>Size vs. Large Twin</t>
  </si>
  <si>
    <t>Small Twin (SD)</t>
  </si>
  <si>
    <t>Large Twin (SD)</t>
  </si>
  <si>
    <t>Size vs. Tube Lugs</t>
  </si>
  <si>
    <t>Tube Lugs (SD)</t>
  </si>
  <si>
    <t>Lug Error</t>
  </si>
  <si>
    <t>PLATING CONFLICT</t>
  </si>
  <si>
    <t>TOM HOLDER / BRACKET CONFLICT</t>
  </si>
  <si>
    <t>Size vs. Vibrabands</t>
  </si>
  <si>
    <t>tom bracket</t>
  </si>
  <si>
    <t>sum of conflict brkts</t>
  </si>
  <si>
    <t>sum of conflict sizes</t>
  </si>
  <si>
    <t>Size vs. Vibraband Conflict</t>
  </si>
  <si>
    <t>Size vs Throwoff</t>
  </si>
  <si>
    <t>Sum of conflict strainers</t>
  </si>
  <si>
    <t>Sum of conflict sizes</t>
  </si>
  <si>
    <t>returns a 1 if ANY error</t>
  </si>
  <si>
    <t>Size / Throwoff Conflict</t>
  </si>
  <si>
    <t>P71 SuperSensitive</t>
  </si>
  <si>
    <t>P80 Piccolo</t>
  </si>
  <si>
    <t>Size vs. Hoops</t>
  </si>
  <si>
    <t>PDC (snares only)</t>
  </si>
  <si>
    <t>Size / Hoop Conflict</t>
  </si>
  <si>
    <t>Size vs. Finish</t>
  </si>
  <si>
    <t>Sum of Conflict Finishes</t>
  </si>
  <si>
    <t>20" deep bass vs exotics</t>
  </si>
  <si>
    <t>Steinway finish snares</t>
  </si>
  <si>
    <t>sum of conflict finishes</t>
  </si>
  <si>
    <t>error if &gt; 0</t>
  </si>
  <si>
    <t>Conflict Finishes</t>
  </si>
  <si>
    <t>taken from the grid</t>
  </si>
  <si>
    <t>Badge / Finish Conflict</t>
  </si>
  <si>
    <t>Sum of Conflict Spurs</t>
  </si>
  <si>
    <t>Size / Spur Conflict</t>
  </si>
  <si>
    <t>Throwoff vs. Butt</t>
  </si>
  <si>
    <t>P85/P86/P80</t>
  </si>
  <si>
    <t>P70/P71</t>
  </si>
  <si>
    <t>P32/P33/P71</t>
  </si>
  <si>
    <t>P32/P33/P70</t>
  </si>
  <si>
    <t>Throwoff / Butt Mis-match</t>
  </si>
  <si>
    <t>(unassigned)</t>
  </si>
  <si>
    <t>Classic Maple, MPLBDCUSTOM</t>
  </si>
  <si>
    <t>Classic Maple, MPLTTCUSTOM</t>
  </si>
  <si>
    <t>Classic Maple, MPLFTCUSTOM</t>
  </si>
  <si>
    <t>Classic Maple, MPLSDCUSTOM</t>
  </si>
  <si>
    <t>L1 Limba Nat/Mahog Brst</t>
  </si>
  <si>
    <t>L2 Limba Supernatural</t>
  </si>
  <si>
    <t>S2 Lacewood Supernatural</t>
  </si>
  <si>
    <t>B1 Bubinga Burst (53S)</t>
  </si>
  <si>
    <t>Returns a 1 if Exotic</t>
  </si>
  <si>
    <t>Exotic</t>
  </si>
  <si>
    <t xml:space="preserve">13x16 Tom Tom </t>
  </si>
  <si>
    <t>15x16 Tom Tom</t>
  </si>
  <si>
    <t>B1  African Bubinga</t>
  </si>
  <si>
    <t>SGK Small Legacy Keystone</t>
  </si>
  <si>
    <t>Small Legacy Keystone</t>
  </si>
  <si>
    <t>New Finishes</t>
  </si>
  <si>
    <t>Codification</t>
  </si>
  <si>
    <t>LB848</t>
  </si>
  <si>
    <t>LB868</t>
  </si>
  <si>
    <t>LB840</t>
  </si>
  <si>
    <t>LB860</t>
  </si>
  <si>
    <t>LB842</t>
  </si>
  <si>
    <t>LB880</t>
  </si>
  <si>
    <t>LB862</t>
  </si>
  <si>
    <t>LB882</t>
  </si>
  <si>
    <t>LB802</t>
  </si>
  <si>
    <t>LB844</t>
  </si>
  <si>
    <t>LB864</t>
  </si>
  <si>
    <t>LB884</t>
  </si>
  <si>
    <t>LB804</t>
  </si>
  <si>
    <t>LB846</t>
  </si>
  <si>
    <t>LB866</t>
  </si>
  <si>
    <t>LF824</t>
  </si>
  <si>
    <t>LF834</t>
  </si>
  <si>
    <t>LF844</t>
  </si>
  <si>
    <t>LF835</t>
  </si>
  <si>
    <t>LF845</t>
  </si>
  <si>
    <t>LF836</t>
  </si>
  <si>
    <t>LF846</t>
  </si>
  <si>
    <t>LF856</t>
  </si>
  <si>
    <t>LF866</t>
  </si>
  <si>
    <t>LF868</t>
  </si>
  <si>
    <t>LS462</t>
  </si>
  <si>
    <t>LS555</t>
  </si>
  <si>
    <t>LS557</t>
  </si>
  <si>
    <t>LS558</t>
  </si>
  <si>
    <t>LS401</t>
  </si>
  <si>
    <t>LS403</t>
  </si>
  <si>
    <t>LS804</t>
  </si>
  <si>
    <t>C</t>
  </si>
  <si>
    <t>XX</t>
  </si>
  <si>
    <t>EX</t>
  </si>
  <si>
    <t>ES</t>
  </si>
  <si>
    <t>EH</t>
  </si>
  <si>
    <t>RC</t>
  </si>
  <si>
    <t>KX</t>
  </si>
  <si>
    <t>AX</t>
  </si>
  <si>
    <t>codif</t>
  </si>
  <si>
    <t>M</t>
  </si>
  <si>
    <t>T</t>
  </si>
  <si>
    <t>SD Lugs</t>
  </si>
  <si>
    <t>BD Lugs</t>
  </si>
  <si>
    <t>WC</t>
  </si>
  <si>
    <t>WL</t>
  </si>
  <si>
    <t>FT Lugs</t>
  </si>
  <si>
    <t>TT Lugs</t>
  </si>
  <si>
    <t>L</t>
  </si>
  <si>
    <t xml:space="preserve"> </t>
  </si>
  <si>
    <t>WM</t>
  </si>
  <si>
    <t>Codif</t>
  </si>
  <si>
    <t>B</t>
  </si>
  <si>
    <t>Holder</t>
  </si>
  <si>
    <t>Cstm</t>
  </si>
  <si>
    <t>Conc</t>
  </si>
  <si>
    <t>iserr</t>
  </si>
  <si>
    <t>final</t>
  </si>
  <si>
    <t xml:space="preserve"> Cstm  </t>
  </si>
  <si>
    <t>3.5x13</t>
  </si>
  <si>
    <t>3.5x14</t>
  </si>
  <si>
    <t>6.5x14</t>
  </si>
  <si>
    <t>6.5x14 8 Lug</t>
  </si>
  <si>
    <t>Lugs vs Atlas Mount</t>
  </si>
  <si>
    <t xml:space="preserve">Atlas Tom mount </t>
  </si>
  <si>
    <t>Long Lugs on Tom</t>
  </si>
  <si>
    <t>Atlas Floor Tom Legs</t>
  </si>
  <si>
    <t>Long Lugs on Floor Tom</t>
  </si>
  <si>
    <t>Lug/Leg Error</t>
  </si>
  <si>
    <t>Lug/Bracket Error</t>
  </si>
  <si>
    <t>Error if &gt; 1</t>
  </si>
  <si>
    <t>02</t>
  </si>
  <si>
    <t>44</t>
  </si>
  <si>
    <t>64</t>
  </si>
  <si>
    <t>84</t>
  </si>
  <si>
    <t>04</t>
  </si>
  <si>
    <t>46</t>
  </si>
  <si>
    <t>66</t>
  </si>
  <si>
    <t>24</t>
  </si>
  <si>
    <t>34</t>
  </si>
  <si>
    <t>35</t>
  </si>
  <si>
    <t>45</t>
  </si>
  <si>
    <t>36</t>
  </si>
  <si>
    <t>56</t>
  </si>
  <si>
    <t>68</t>
  </si>
  <si>
    <t>70</t>
  </si>
  <si>
    <t>80</t>
  </si>
  <si>
    <t>90</t>
  </si>
  <si>
    <t>82</t>
  </si>
  <si>
    <t>92</t>
  </si>
  <si>
    <t>12</t>
  </si>
  <si>
    <t>93</t>
  </si>
  <si>
    <t>03</t>
  </si>
  <si>
    <t>13</t>
  </si>
  <si>
    <t>23</t>
  </si>
  <si>
    <t>14</t>
  </si>
  <si>
    <t>25</t>
  </si>
  <si>
    <t>62</t>
  </si>
  <si>
    <t>63</t>
  </si>
  <si>
    <t>54</t>
  </si>
  <si>
    <t>Sm Twin</t>
  </si>
  <si>
    <t>Lg Twin</t>
  </si>
  <si>
    <t>iserror</t>
  </si>
  <si>
    <t>Final</t>
  </si>
  <si>
    <t>brkt</t>
  </si>
  <si>
    <t>vibra</t>
  </si>
  <si>
    <t>throw</t>
  </si>
  <si>
    <t>lug/hoop</t>
  </si>
  <si>
    <t>brass</t>
  </si>
  <si>
    <t>BN Burnt Natural</t>
  </si>
  <si>
    <t>Dealer</t>
  </si>
  <si>
    <t>PM0046 Atlas Mount</t>
  </si>
  <si>
    <t>A combination lug and mounting bracket with vibration isolation built in.</t>
  </si>
  <si>
    <t xml:space="preserve">Clamps on to a 12mm rod.  Drums configured with this mount are shipped </t>
  </si>
  <si>
    <t>with a 12mm L-arm to retro-fit into any Ludwig Tom holder.</t>
  </si>
  <si>
    <t>Mounts in the place of a Keystone, Mini Classic or Large Classic lugs.</t>
  </si>
  <si>
    <t xml:space="preserve">If you order a tom with the tom bracket drilled into the shell (not Atlas) that tom will have two badges, one on each side of the tom bracket.  That way, however you mount the drum, one of the badges will be facing out.  Toms with Vibrabands, Atlas Mounts, or no mounts will have one badge.  The player will always be able to position the badge correctly. </t>
  </si>
  <si>
    <t>Vibrabands are included with toms but not installed to allow the player to position the drum correctly.</t>
  </si>
  <si>
    <t>Atlas Legs and Mounts</t>
  </si>
  <si>
    <t>Dynamic Default for BD Hoops</t>
  </si>
  <si>
    <t>Finishes that get 0Ni hoops</t>
  </si>
  <si>
    <t>Black or White Cortex</t>
  </si>
  <si>
    <t>Dynamic Default for Bass Hoops</t>
  </si>
  <si>
    <t>Any Error</t>
  </si>
  <si>
    <t>any error</t>
  </si>
  <si>
    <t>Any Error WHATSOEVER!</t>
  </si>
  <si>
    <t>Check Main Page for Errors</t>
  </si>
  <si>
    <t>Any Error WHATSOEVER</t>
  </si>
  <si>
    <t>GC Cast Brass Badge</t>
  </si>
  <si>
    <t>LM</t>
  </si>
  <si>
    <t>KM</t>
  </si>
  <si>
    <t>AM</t>
  </si>
  <si>
    <t>13x16 Floor tom</t>
  </si>
  <si>
    <t>Floor tom Legs</t>
  </si>
  <si>
    <t>Tube Lugs (Snare)</t>
  </si>
  <si>
    <t>Large Classic Lugs (Bass, Tom, Floor)</t>
  </si>
  <si>
    <t>Long Lugs (Bass, Tom, Floor)</t>
  </si>
  <si>
    <t>Mini Classic Lugs (Snare)</t>
  </si>
  <si>
    <t>Bass Drum T handles</t>
  </si>
  <si>
    <t>2 pr Curved Spurs</t>
  </si>
  <si>
    <t>No Spurs or Drilling</t>
  </si>
  <si>
    <t>Brass Hardware (Bass, Tom, Floor)</t>
  </si>
  <si>
    <t>Brass Hardwaer (Snare)</t>
  </si>
  <si>
    <t>Internal Tone Control (tom, floor, snare)</t>
  </si>
  <si>
    <t>Shell Mount Cymbal Holder (Each)</t>
  </si>
  <si>
    <t>PDC Die Cast Hoops on Snare</t>
  </si>
  <si>
    <t>Where used</t>
  </si>
  <si>
    <t>New Loc</t>
  </si>
  <si>
    <t>Description</t>
  </si>
  <si>
    <t>59 S Am Mahogany</t>
  </si>
  <si>
    <t>Chromed Aluminum</t>
  </si>
  <si>
    <t>LM400</t>
  </si>
  <si>
    <t>LM402</t>
  </si>
  <si>
    <t>Chromed Hammered Aluminum</t>
  </si>
  <si>
    <t>LM400K</t>
  </si>
  <si>
    <t>LM402K</t>
  </si>
  <si>
    <t>Chromed Brass</t>
  </si>
  <si>
    <t>LB400B</t>
  </si>
  <si>
    <t>LB402B</t>
  </si>
  <si>
    <t>Black Beauty</t>
  </si>
  <si>
    <t>LB553B</t>
  </si>
  <si>
    <t>LB416</t>
  </si>
  <si>
    <t>LB417</t>
  </si>
  <si>
    <t>Hammered Black Beauty</t>
  </si>
  <si>
    <t>LB553BK</t>
  </si>
  <si>
    <t>LB416K</t>
  </si>
  <si>
    <t>LB417K</t>
  </si>
  <si>
    <t>Hammered Brass</t>
  </si>
  <si>
    <t>LB420K</t>
  </si>
  <si>
    <t>LB422K</t>
  </si>
  <si>
    <t>Bronze</t>
  </si>
  <si>
    <t>LB550</t>
  </si>
  <si>
    <t>KB552</t>
  </si>
  <si>
    <t>Hammered Bronze</t>
  </si>
  <si>
    <t>LB550K</t>
  </si>
  <si>
    <t>LB552K</t>
  </si>
  <si>
    <t>Metal Snare Order Guide</t>
  </si>
  <si>
    <t>Imperial</t>
  </si>
  <si>
    <t>P70/P71 Supraphonic</t>
  </si>
  <si>
    <t>PDC Die Cast</t>
  </si>
  <si>
    <t>Internal Tone Control</t>
  </si>
  <si>
    <t>P33 Die Cast</t>
  </si>
  <si>
    <t>P32 Stamped</t>
  </si>
  <si>
    <t>33 Medium Coated</t>
  </si>
  <si>
    <t>43 Heavy Coated</t>
  </si>
  <si>
    <t xml:space="preserve">List </t>
  </si>
  <si>
    <t>Price</t>
  </si>
  <si>
    <t>List Price</t>
  </si>
  <si>
    <t>No Tone Control'</t>
  </si>
  <si>
    <t>Total Options</t>
  </si>
  <si>
    <t>Base</t>
  </si>
  <si>
    <t xml:space="preserve">Base + </t>
  </si>
  <si>
    <t>D</t>
  </si>
  <si>
    <t>Hardware</t>
  </si>
  <si>
    <t>Drum</t>
  </si>
  <si>
    <t>Conflicts</t>
  </si>
  <si>
    <t>Brass vs Everything</t>
  </si>
  <si>
    <t xml:space="preserve">Qty </t>
  </si>
  <si>
    <t>Chosen</t>
  </si>
  <si>
    <t xml:space="preserve">Qty if </t>
  </si>
  <si>
    <t>METALSDCUSTOM</t>
  </si>
  <si>
    <t>Plating</t>
  </si>
  <si>
    <t>Plating vs Shell</t>
  </si>
  <si>
    <t>Total Sizes</t>
  </si>
  <si>
    <t>Total Conflicts</t>
  </si>
  <si>
    <t>Size vs Plating if &gt;0</t>
  </si>
  <si>
    <t>Plating vs Options if &gt;0</t>
  </si>
  <si>
    <t>Plating error if &gt; 0</t>
  </si>
  <si>
    <t>Plating Conflict</t>
  </si>
  <si>
    <t>Imperial/Classic</t>
  </si>
  <si>
    <t>Dynamic Lug Description</t>
  </si>
  <si>
    <t>lug desc is vlookuped from here.</t>
  </si>
  <si>
    <t>Size/Throwoff Conflict</t>
  </si>
  <si>
    <t>P70/P71 SuperSensitive</t>
  </si>
  <si>
    <t>Dynamic SuperSensitive Desc</t>
  </si>
  <si>
    <t>total 5x14</t>
  </si>
  <si>
    <t>total 6.5x14</t>
  </si>
  <si>
    <t>SS desc is vlookuped from here.</t>
  </si>
  <si>
    <t>big drums vs P80</t>
  </si>
  <si>
    <t>Small drums vs P85, P86, P70/P71</t>
  </si>
  <si>
    <t>Any Throwoff conflict</t>
  </si>
  <si>
    <t>throwoff vs Butt</t>
  </si>
  <si>
    <t>SS Butt vs lever throwoff</t>
  </si>
  <si>
    <t>SS Throwoff vs Clamp butt</t>
  </si>
  <si>
    <t>Butt/Throwoff Conflict</t>
  </si>
  <si>
    <t>Size/Hoop Conflict</t>
  </si>
  <si>
    <t>Size vs Hoop</t>
  </si>
  <si>
    <t>piccolo size</t>
  </si>
  <si>
    <t>Die Cast hoops</t>
  </si>
  <si>
    <t>error if &gt;1</t>
  </si>
  <si>
    <t>No Tone Control</t>
  </si>
  <si>
    <t>Insensitive</t>
  </si>
  <si>
    <t>SuperSensitive</t>
  </si>
  <si>
    <t>SI Match</t>
  </si>
  <si>
    <t>I</t>
  </si>
  <si>
    <t>N</t>
  </si>
  <si>
    <t>Batter</t>
  </si>
  <si>
    <t>Code to Match Standard Items</t>
  </si>
  <si>
    <t>Drum matching code generated here.</t>
  </si>
  <si>
    <t>Item Number</t>
  </si>
  <si>
    <t>5X14 CHROMED BRASS SNARE</t>
  </si>
  <si>
    <t>LB400BBTWM</t>
  </si>
  <si>
    <t>5X14 CHROME BRASS W/BRASS TRIM</t>
  </si>
  <si>
    <t>LB400BT</t>
  </si>
  <si>
    <t>5X14 CHRMD BRASS SNARE-TUBE LG</t>
  </si>
  <si>
    <t>LB400BTM</t>
  </si>
  <si>
    <t>LB400BWM</t>
  </si>
  <si>
    <t>6 1/2 X 14 CHRMD BRASS SNARE</t>
  </si>
  <si>
    <t>LB402BBTWM</t>
  </si>
  <si>
    <t>6.5X14 CRM BRASS W/BRASS TRIM</t>
  </si>
  <si>
    <t>LB402BT</t>
  </si>
  <si>
    <t>6.5X14 CHRMD BRASS SNARE-TB LG</t>
  </si>
  <si>
    <t>LB402BTWM</t>
  </si>
  <si>
    <t>LB402BWM</t>
  </si>
  <si>
    <t>5X14 SUPRA-PHONIC BLACK BEAUTY</t>
  </si>
  <si>
    <t>LB416BT</t>
  </si>
  <si>
    <t>5X14 BLACK BEAUTY W/BRASS TRIM</t>
  </si>
  <si>
    <t>5X14 HMMRD BLK BTY W/P85</t>
  </si>
  <si>
    <t>LB416KT</t>
  </si>
  <si>
    <t>5X14 HMMRD BLK BTY W/TUBE LUGS</t>
  </si>
  <si>
    <t>LB416KTWM</t>
  </si>
  <si>
    <t>LB416T</t>
  </si>
  <si>
    <t>5X14 BLK BTY SNARE W/TUBE LUGS</t>
  </si>
  <si>
    <t>LB416TM</t>
  </si>
  <si>
    <t>LB416WM</t>
  </si>
  <si>
    <t>6 1/2X14 SUPRA-PHO BLK BEAUTY</t>
  </si>
  <si>
    <t>LB417BT</t>
  </si>
  <si>
    <t>6.5X14 BLK BEAUTY W/BRASS TRIM</t>
  </si>
  <si>
    <t>6 1/2 X 14 HMMRD BLK BTY W/P85</t>
  </si>
  <si>
    <t>LB417KM</t>
  </si>
  <si>
    <t>LB417KT</t>
  </si>
  <si>
    <t>6 1/2 X 14 HMMRD BLK BTY-TB LG</t>
  </si>
  <si>
    <t>LB417KTWM</t>
  </si>
  <si>
    <t>LB417M</t>
  </si>
  <si>
    <t>LB417T</t>
  </si>
  <si>
    <t>6 1/2 X 14 BLK BTY W/TUBE LUGS</t>
  </si>
  <si>
    <t>LB417TWM</t>
  </si>
  <si>
    <t>LB418</t>
  </si>
  <si>
    <t>5X14 SUPER-SEN BLACK BEAUTY</t>
  </si>
  <si>
    <t>LB418K</t>
  </si>
  <si>
    <t>5X14 HMMRD BLK BTY W/P70</t>
  </si>
  <si>
    <t>LB418KT</t>
  </si>
  <si>
    <t>LB418T</t>
  </si>
  <si>
    <t>LB419</t>
  </si>
  <si>
    <t>6 1/2X14 SUPER-SEN BLK BEAUTY</t>
  </si>
  <si>
    <t>LB419K</t>
  </si>
  <si>
    <t>6 1/2 X 14 HMMRD BLK BTY W/P70</t>
  </si>
  <si>
    <t>LB419KT</t>
  </si>
  <si>
    <t>LB419T</t>
  </si>
  <si>
    <t>LB420BKT</t>
  </si>
  <si>
    <t>5X14 HAMMERED BRASS SNARE</t>
  </si>
  <si>
    <t>LB422BKT</t>
  </si>
  <si>
    <t>6 1/2X14 HAMMERED BRASS SNARE</t>
  </si>
  <si>
    <t>5X14 SUPRA-PHO BRONZE SNARE DR</t>
  </si>
  <si>
    <t>5X14 HAM'D S-PHO BRONZE SN DR</t>
  </si>
  <si>
    <t>LB550KT</t>
  </si>
  <si>
    <t>LB550KTWM</t>
  </si>
  <si>
    <t>LB550KWM</t>
  </si>
  <si>
    <t>LB550T</t>
  </si>
  <si>
    <t>5X14 BRONZE W/TUBE LUGS</t>
  </si>
  <si>
    <t>LB550TWM</t>
  </si>
  <si>
    <t>LB550WM</t>
  </si>
  <si>
    <t>LB552</t>
  </si>
  <si>
    <t>6 1/2X14 S-PHO BRONZE SNARE DR</t>
  </si>
  <si>
    <t>6 1/2X14 HAM'D S-PHO BRONZE SN</t>
  </si>
  <si>
    <t>LB552KT</t>
  </si>
  <si>
    <t>LB552KTWM</t>
  </si>
  <si>
    <t>LB552KWM</t>
  </si>
  <si>
    <t>LB552T</t>
  </si>
  <si>
    <t>6.5 X 14 BRONZE W/TUBE LUGS</t>
  </si>
  <si>
    <t>LB552TWM</t>
  </si>
  <si>
    <t>LB552WM</t>
  </si>
  <si>
    <t>3X13 BLK BEAUTY PICCOLO SNARE</t>
  </si>
  <si>
    <t>3X13 HMMRD BLK BTY PICCOLO SN</t>
  </si>
  <si>
    <t>LB553BT</t>
  </si>
  <si>
    <t>3X13 BLK BTY PICCOLO W/TUBE LG</t>
  </si>
  <si>
    <t>LB554</t>
  </si>
  <si>
    <t>5X14 S-SEN BRONZE SNARE DRUM</t>
  </si>
  <si>
    <t>LB554K</t>
  </si>
  <si>
    <t>5X14 HAM'D S-SEN BRONZE SN DR</t>
  </si>
  <si>
    <t>LB554KT</t>
  </si>
  <si>
    <t>5X14 HM'D SS BZ SN W TUBE LUGS</t>
  </si>
  <si>
    <t>LB554T</t>
  </si>
  <si>
    <t>5X14 SS BZ SN DRUM W/TUBE LUGS</t>
  </si>
  <si>
    <t>LB556</t>
  </si>
  <si>
    <t>6 1/2X14 S-SEN BRONZE SNARE DR</t>
  </si>
  <si>
    <t>LB556K</t>
  </si>
  <si>
    <t>6 1/2X14 HAM'D S-SEN BRONZE SN</t>
  </si>
  <si>
    <t>LB556KT</t>
  </si>
  <si>
    <t>6 1/2X14 HAM'D S-S W/TUBE LUGS</t>
  </si>
  <si>
    <t>LB556T</t>
  </si>
  <si>
    <t>6 1/2X14 S-S BZ SN W/TUBE LUGS</t>
  </si>
  <si>
    <t>5X14 S-PHONIC METAL SNARE DRUM</t>
  </si>
  <si>
    <t>5X14 HAM'D S-PHO METAL SN DRUM</t>
  </si>
  <si>
    <t>LM400KT</t>
  </si>
  <si>
    <t>LM400KWM</t>
  </si>
  <si>
    <t>LM400T</t>
  </si>
  <si>
    <t>5X14 S-PHONIC SNARE W/TUBE LUG</t>
  </si>
  <si>
    <t>LM400TWM</t>
  </si>
  <si>
    <t>LM400WM</t>
  </si>
  <si>
    <t>6 1/2X14 S-PHO METAL SNARE DR</t>
  </si>
  <si>
    <t>6 1/2X14 HAM'D S-P METAL SN DR</t>
  </si>
  <si>
    <t>LM402KT</t>
  </si>
  <si>
    <t>6.5X14 HMMD CHRM SNRE-TUBE LUG</t>
  </si>
  <si>
    <t>LM402KTDMWM</t>
  </si>
  <si>
    <t>LM402KTWM</t>
  </si>
  <si>
    <t>LM402T</t>
  </si>
  <si>
    <t>LM402TWM</t>
  </si>
  <si>
    <t>LM402WM</t>
  </si>
  <si>
    <t>LM410</t>
  </si>
  <si>
    <t>5X14 S-SENS METAL SNARE DRUM</t>
  </si>
  <si>
    <t>LM410K</t>
  </si>
  <si>
    <t>5X14 HAM'D S-S METAL SNARE DR</t>
  </si>
  <si>
    <t>LM410KT</t>
  </si>
  <si>
    <t>5X14 HAM'D S-S SNR W/TUBE LUGS</t>
  </si>
  <si>
    <t>LM410T</t>
  </si>
  <si>
    <t>5X14 S-S SNR DRUM W/TUBE LUGS</t>
  </si>
  <si>
    <t>LM411</t>
  </si>
  <si>
    <t>6 1/2X14 S- SEN METAL SNARE DR</t>
  </si>
  <si>
    <t>LM411K</t>
  </si>
  <si>
    <t>6 1/2X14 HAM'D S-S METAL SN DR</t>
  </si>
  <si>
    <t>LM411KT</t>
  </si>
  <si>
    <t>LM411T</t>
  </si>
  <si>
    <t>SI Code</t>
  </si>
  <si>
    <t>LB420BK</t>
  </si>
  <si>
    <t>LB422BK</t>
  </si>
  <si>
    <t>This Drum</t>
  </si>
  <si>
    <t>SI</t>
  </si>
  <si>
    <t>isError</t>
  </si>
  <si>
    <t>DM4</t>
  </si>
  <si>
    <t>DM5</t>
  </si>
  <si>
    <t>DM6</t>
  </si>
  <si>
    <t>DM7</t>
  </si>
  <si>
    <t>DM9</t>
  </si>
  <si>
    <t>DM11</t>
  </si>
  <si>
    <t>DM12</t>
  </si>
  <si>
    <t>DM14</t>
  </si>
  <si>
    <t>DM15</t>
  </si>
  <si>
    <t>DM18</t>
  </si>
  <si>
    <t>DM19</t>
  </si>
  <si>
    <t>DM20</t>
  </si>
  <si>
    <t>DM21</t>
  </si>
  <si>
    <t>DM22</t>
  </si>
  <si>
    <t>DM23</t>
  </si>
  <si>
    <t>DM24</t>
  </si>
  <si>
    <t>DM25</t>
  </si>
  <si>
    <t>DM26</t>
  </si>
  <si>
    <t>DM27</t>
  </si>
  <si>
    <t>DM28</t>
  </si>
  <si>
    <t>DM34</t>
  </si>
  <si>
    <t>DM38</t>
  </si>
  <si>
    <t>DM39</t>
  </si>
  <si>
    <t>DM40</t>
  </si>
  <si>
    <t>DM41</t>
  </si>
  <si>
    <t>DM42</t>
  </si>
  <si>
    <t>DM48</t>
  </si>
  <si>
    <t>DM49</t>
  </si>
  <si>
    <t>New Location</t>
  </si>
  <si>
    <t>Where Used</t>
  </si>
  <si>
    <t>DT3</t>
  </si>
  <si>
    <t>DT4</t>
  </si>
  <si>
    <t>DT5</t>
  </si>
  <si>
    <t>DT6</t>
  </si>
  <si>
    <t>DT8</t>
  </si>
  <si>
    <t>DT10</t>
  </si>
  <si>
    <t>DT11</t>
  </si>
  <si>
    <t>DT13</t>
  </si>
  <si>
    <t>DT14</t>
  </si>
  <si>
    <t>DT17</t>
  </si>
  <si>
    <t>DT18</t>
  </si>
  <si>
    <t>DT19</t>
  </si>
  <si>
    <t>DT20</t>
  </si>
  <si>
    <t>DT21</t>
  </si>
  <si>
    <t>DT22</t>
  </si>
  <si>
    <t>DT23</t>
  </si>
  <si>
    <t>DT24</t>
  </si>
  <si>
    <t>DT25</t>
  </si>
  <si>
    <t>DT26</t>
  </si>
  <si>
    <t>DT27</t>
  </si>
  <si>
    <t>DT29</t>
  </si>
  <si>
    <t>DT32</t>
  </si>
  <si>
    <t>DT33</t>
  </si>
  <si>
    <t>DT36</t>
  </si>
  <si>
    <t>DT37</t>
  </si>
  <si>
    <t>DT38</t>
  </si>
  <si>
    <t>DT39</t>
  </si>
  <si>
    <t>DT40</t>
  </si>
  <si>
    <t>DT43</t>
  </si>
  <si>
    <t>DT46</t>
  </si>
  <si>
    <t>DT47</t>
  </si>
  <si>
    <t>DT48</t>
  </si>
  <si>
    <t>DT50</t>
  </si>
  <si>
    <t>DT52</t>
  </si>
  <si>
    <t>BL5, BL6, BL7</t>
  </si>
  <si>
    <t>BL4</t>
  </si>
  <si>
    <t>BE11</t>
  </si>
  <si>
    <t>BZ3-BZ51</t>
  </si>
  <si>
    <t>BZ52-BZ60</t>
  </si>
  <si>
    <t>BM14</t>
  </si>
  <si>
    <t>BM15</t>
  </si>
  <si>
    <t>BE21</t>
  </si>
  <si>
    <t>BE22</t>
  </si>
  <si>
    <t>BE23</t>
  </si>
  <si>
    <t>BE24</t>
  </si>
  <si>
    <t>BE25</t>
  </si>
  <si>
    <t>BE26</t>
  </si>
  <si>
    <t>BE27</t>
  </si>
  <si>
    <t>BE28</t>
  </si>
  <si>
    <t>BE29</t>
  </si>
  <si>
    <t>BE30</t>
  </si>
  <si>
    <t>BE31</t>
  </si>
  <si>
    <t>BA44-BA47</t>
  </si>
  <si>
    <t>BM37</t>
  </si>
  <si>
    <t>BM38</t>
  </si>
  <si>
    <t>BM24</t>
  </si>
  <si>
    <t>BM25</t>
  </si>
  <si>
    <t>BM26</t>
  </si>
  <si>
    <t>BM27</t>
  </si>
  <si>
    <t>BM28</t>
  </si>
  <si>
    <t>BM29</t>
  </si>
  <si>
    <t>BE39</t>
  </si>
  <si>
    <t>BI47</t>
  </si>
  <si>
    <t>BI49</t>
  </si>
  <si>
    <t>BI50</t>
  </si>
  <si>
    <t>BO48</t>
  </si>
  <si>
    <t>BI42</t>
  </si>
  <si>
    <t>Option</t>
  </si>
  <si>
    <t>For example, if you select a bass drum, the choices for Tom Holder and Spurs will be highlighted, inviting you to make a choice from those groups.</t>
  </si>
  <si>
    <t>If you want to have different options on drums of the same type, (e.g., mini classic lugs on one tom and large classic lugs on another), fill out a separate order guide for one of the drums.</t>
  </si>
  <si>
    <t>Thank you for using the Ludwig Configuration Guide!</t>
  </si>
  <si>
    <t>Mini Classic Lugs</t>
  </si>
  <si>
    <t>P22246D Mini Classic Lugs are available on 6" and deeper snare drums.</t>
  </si>
  <si>
    <t>6x12 with Mini Classic Lugs</t>
  </si>
  <si>
    <r>
      <rPr>
        <b/>
        <sz val="11"/>
        <color theme="1"/>
        <rFont val="Calibri"/>
        <family val="2"/>
        <scheme val="minor"/>
      </rPr>
      <t>Bold font</t>
    </r>
    <r>
      <rPr>
        <sz val="11"/>
        <color theme="1"/>
        <rFont val="Calibri"/>
        <family val="2"/>
        <scheme val="minor"/>
      </rPr>
      <t xml:space="preserve"> indicates "Standard".  </t>
    </r>
  </si>
  <si>
    <t>On the "Metal Snares" page, start with a basic drum and option it out to your liking.  The "Codification" column on that page will return a custom number or a standard item for what you've selected if there is one.</t>
  </si>
  <si>
    <t>To get started, select Classic Maple, Legacy or Metal Snares from the tabs at the bottom.</t>
  </si>
  <si>
    <t xml:space="preserve">Your computer may block macros.  If it does, you should have the option to "Enable Content" to allow the macros in this worksheet to function.  </t>
  </si>
  <si>
    <t>S1 Lacewood Nat-Red/Mahog</t>
  </si>
  <si>
    <t>Badge vs Finish (disabled)</t>
  </si>
  <si>
    <t>LAC2983MT Atlas Arch Single</t>
  </si>
  <si>
    <t>LAP2984MT Atlas Double</t>
  </si>
  <si>
    <t>LAP2985MT Atlas Single</t>
  </si>
  <si>
    <t>AA</t>
  </si>
  <si>
    <t>A2</t>
  </si>
  <si>
    <t>A1</t>
  </si>
  <si>
    <t>LAC2973SP Atlas Anchor</t>
  </si>
  <si>
    <t>DM16</t>
  </si>
  <si>
    <t>DT15</t>
  </si>
  <si>
    <t>12mm Atlas Tom Holder</t>
  </si>
  <si>
    <t>returns a 1 if ATLAS 12mm</t>
  </si>
  <si>
    <t>Returns a 1 if won't work w/Atlas</t>
  </si>
  <si>
    <t>Tom brackets that won't work w/ATLAS</t>
  </si>
  <si>
    <t>12mm Atlas Tom holders</t>
  </si>
  <si>
    <t>returns a 1 if 12mm Atlas holder</t>
  </si>
  <si>
    <t>returns a 1 if anti-ATLAS</t>
  </si>
  <si>
    <t>FF Full Width Wrap</t>
  </si>
  <si>
    <t>FE Fumed Eucalyptus</t>
  </si>
  <si>
    <t>SP ShamPayne</t>
  </si>
  <si>
    <t>AG Apple Glass</t>
  </si>
  <si>
    <t>GB Galaxy Bronze</t>
  </si>
  <si>
    <t>TQ Turquoyster</t>
  </si>
  <si>
    <t>SO Salmon Pearl</t>
  </si>
  <si>
    <t>RP Red Oyster</t>
  </si>
  <si>
    <t>GM Gunmetal</t>
  </si>
  <si>
    <t>12x18 Bass Drum</t>
  </si>
  <si>
    <t>12x18</t>
  </si>
  <si>
    <t>LB828</t>
  </si>
  <si>
    <t>Tom brackets that won't work w/Atlas</t>
  </si>
  <si>
    <t>returns a 1 if MH Matching hoop is chosen</t>
  </si>
  <si>
    <t>28</t>
  </si>
  <si>
    <t>For example, if you choose Mini Classic lugs on a 5x14 snare, "Lug Error" will appear because those lugs won't fit on a 5x14.  You need to choose smaller lugs or a larger snare.</t>
  </si>
  <si>
    <t>When you're done, you can print out your set.  What prints is a summary of the sizes and features.</t>
  </si>
  <si>
    <t xml:space="preserve">Based on the sizes you choose, other boxes will be highlighted in yellow.  </t>
  </si>
  <si>
    <t>On the Classic Maple and Legacy pages, start by selecting the sizes that you want.  Retail prices will appear to the right of each drum that you select.</t>
  </si>
  <si>
    <t xml:space="preserve">Some options are available at no charge.  When you select something that does cost extra, like a premium finish or a tom holder, that cost is automatically rolled into the cost for each drum that it applies to. </t>
  </si>
  <si>
    <t xml:space="preserve">Anything highlighted in yellow is waiting for you to make a selection. </t>
  </si>
  <si>
    <t>If you are a Ludwig Dealer, the best way to order from us is to save the file and email it to us.  Using the po number or customer's name for the file name works great and helps both of us keep track of the original order.  You can also print and fax it to us if you prefer.</t>
  </si>
  <si>
    <t>If you select options that conflict with each other or with the size of the drum, an error message will appear in red to let you know that something needs to change.</t>
  </si>
  <si>
    <t xml:space="preserve">If you are  ordering a drumset for yourself, you can place your order with any Ludwig dealer by sending them this order guide.  </t>
  </si>
  <si>
    <t>P1216D</t>
  </si>
  <si>
    <t>P7202A</t>
  </si>
  <si>
    <t>L_RK Vibraband w/Keystone Bracket</t>
  </si>
  <si>
    <t>P7184A</t>
  </si>
  <si>
    <t>P1610D</t>
  </si>
  <si>
    <t>LR2991MT</t>
  </si>
  <si>
    <t>LR2992MT</t>
  </si>
  <si>
    <t>LR2981MT</t>
  </si>
  <si>
    <t>LR2980MT</t>
  </si>
  <si>
    <t>Elite Bass Casting Only</t>
  </si>
  <si>
    <t>Ludwig Classic Bass Casting Only</t>
  </si>
  <si>
    <t>Tom Holders and Mounting Brackets</t>
  </si>
  <si>
    <t>Bass Drum Spurs</t>
  </si>
  <si>
    <t>LC1308SP and LC1308SP2</t>
  </si>
  <si>
    <t xml:space="preserve">can be ordered with 2 pairs of curved spurs (LC1308SP2).  </t>
  </si>
  <si>
    <t>LR2974SP</t>
  </si>
  <si>
    <t>LR2973SP</t>
  </si>
  <si>
    <t xml:space="preserve">hold (on somebody else's wood floor).  </t>
  </si>
  <si>
    <t>Keystone Tom Bracket</t>
  </si>
  <si>
    <t>Classic Ludwig tom bracket</t>
  </si>
  <si>
    <t xml:space="preserve">Atlas Mounts take the places of 3 Mini Classic or </t>
  </si>
  <si>
    <t xml:space="preserve">Large Classic Lugs and clamp on to 12mm legs.  </t>
  </si>
  <si>
    <t>Snare Strainers</t>
  </si>
  <si>
    <t>P33 Die Cast Butt</t>
  </si>
  <si>
    <t>P32 Stamped butt</t>
  </si>
  <si>
    <t xml:space="preserve">This is the same Mini Classic Lug that is standard </t>
  </si>
  <si>
    <t>on Classic Maple and Legacy Toms and Bass Drums.</t>
  </si>
  <si>
    <t>Works With:</t>
  </si>
  <si>
    <t>P7185AP Elite Brackets</t>
  </si>
  <si>
    <t>P7202AP Keystone Tom Brackets</t>
  </si>
  <si>
    <t>P1610D Classic Tom Brackets</t>
  </si>
  <si>
    <t>Works with P7202A Keystone Tom Bracket</t>
  </si>
  <si>
    <t>To help you make your selections, there are pictures of many of the available hardware pieces on the tab called "Gallery".</t>
  </si>
  <si>
    <r>
      <rPr>
        <b/>
        <sz val="11"/>
        <color theme="1"/>
        <rFont val="Calibri"/>
        <family val="2"/>
        <scheme val="minor"/>
      </rPr>
      <t>LR2983MT</t>
    </r>
    <r>
      <rPr>
        <sz val="10"/>
        <color theme="1"/>
        <rFont val="Calibri"/>
        <family val="2"/>
        <scheme val="minor"/>
      </rPr>
      <t xml:space="preserve"> Rail Consolette Tom Holder (9.5mm)</t>
    </r>
  </si>
  <si>
    <t>10.5mm arm fits Keystone Tom Brackets</t>
  </si>
  <si>
    <t>12mm arms fit Atlas Tom Mounts</t>
  </si>
  <si>
    <r>
      <rPr>
        <b/>
        <sz val="12"/>
        <color theme="1"/>
        <rFont val="Calibri"/>
        <family val="2"/>
        <scheme val="minor"/>
      </rPr>
      <t>LAP2984MT</t>
    </r>
    <r>
      <rPr>
        <b/>
        <sz val="10"/>
        <color theme="1"/>
        <rFont val="Calibri"/>
        <family val="2"/>
        <scheme val="minor"/>
      </rPr>
      <t xml:space="preserve"> Atlas Double Tom Holder</t>
    </r>
  </si>
  <si>
    <r>
      <rPr>
        <b/>
        <sz val="12"/>
        <color theme="1"/>
        <rFont val="Calibri"/>
        <family val="2"/>
        <scheme val="minor"/>
      </rPr>
      <t>LAP2985MT</t>
    </r>
    <r>
      <rPr>
        <b/>
        <sz val="10"/>
        <color theme="1"/>
        <rFont val="Calibri"/>
        <family val="2"/>
        <scheme val="minor"/>
      </rPr>
      <t xml:space="preserve"> Atlas Single</t>
    </r>
  </si>
  <si>
    <t>12mm arm fits Atlas Tom Mounts</t>
  </si>
  <si>
    <r>
      <rPr>
        <b/>
        <sz val="12"/>
        <color theme="1"/>
        <rFont val="Calibri"/>
        <family val="2"/>
        <scheme val="minor"/>
      </rPr>
      <t>LAC2983MT</t>
    </r>
    <r>
      <rPr>
        <b/>
        <sz val="11"/>
        <color theme="1"/>
        <rFont val="Calibri"/>
        <family val="2"/>
        <scheme val="minor"/>
      </rPr>
      <t xml:space="preserve"> Atlas Arch</t>
    </r>
  </si>
  <si>
    <t>Mounts to the bass drum on two Atlas brackets.</t>
  </si>
  <si>
    <t>Provides isolation from the bass drum.</t>
  </si>
  <si>
    <t xml:space="preserve">12mm arm fits Atlas Tom Mount on tom tom.  </t>
  </si>
  <si>
    <t>T-Handle Tension Rods for Bass Drum</t>
  </si>
  <si>
    <t xml:space="preserve">Bass Drums with T-handles still get </t>
  </si>
  <si>
    <t xml:space="preserve">keyrods on the 2 bottom lugs front and back to avoid </t>
  </si>
  <si>
    <t>hitting the floor or the bass pedal.</t>
  </si>
  <si>
    <t xml:space="preserve">A nylon spacer installed under the shoulder provides </t>
  </si>
  <si>
    <t>clearance for the T-handle to clear the clawhook.</t>
  </si>
  <si>
    <t>Tone Control (Internal)</t>
  </si>
  <si>
    <t>Tone Controls can be added to toms, floor toms and snares.</t>
  </si>
  <si>
    <t>(Batter head only)</t>
  </si>
  <si>
    <t>L_RL Vibraband w/Classic Bracket</t>
  </si>
  <si>
    <t xml:space="preserve">The Classic bracket receives a 9.5mm </t>
  </si>
  <si>
    <t xml:space="preserve">post and secures it with an internal </t>
  </si>
  <si>
    <t xml:space="preserve">eye bolt.  </t>
  </si>
  <si>
    <t xml:space="preserve">The Classic P1216D bracket is also available on a </t>
  </si>
  <si>
    <t>MORE &gt;&gt;</t>
  </si>
  <si>
    <t>LAC2973SP</t>
  </si>
  <si>
    <t>Atlas Anchor Spur</t>
  </si>
  <si>
    <t>This is a folding "Gulwing" type spur that fastens</t>
  </si>
  <si>
    <t>to the drum with two Atlas mounting brackets.</t>
  </si>
  <si>
    <t>Adjustable for length, works on drums 18-26" diameter.</t>
  </si>
  <si>
    <t>Not compatable with Long "Mach" lugs.</t>
  </si>
  <si>
    <t>Holder/Lug Error</t>
  </si>
  <si>
    <t>Atlas Arch Tom Holder</t>
  </si>
  <si>
    <t>Long Lugs on Bass Drum</t>
  </si>
  <si>
    <t>Returns a 1 if lug/mnt error</t>
  </si>
  <si>
    <t>DC Hoops</t>
  </si>
  <si>
    <t>Size vs Long Lugs &amp; Keyrods</t>
  </si>
  <si>
    <t>20x20</t>
  </si>
  <si>
    <t>20" deep selected</t>
  </si>
  <si>
    <t>long lugs</t>
  </si>
  <si>
    <t xml:space="preserve">20" deep drums </t>
  </si>
  <si>
    <t>1 if 20" and LL</t>
  </si>
  <si>
    <t>12x20 Bass Drum</t>
  </si>
  <si>
    <t>12x22 Bass Drum</t>
  </si>
  <si>
    <t>12x24 Bass Drum</t>
  </si>
  <si>
    <t>12x26 Bass Drum</t>
  </si>
  <si>
    <t xml:space="preserve">7x6 Tom Tom </t>
  </si>
  <si>
    <t xml:space="preserve">7.5x10 Tom Tom </t>
  </si>
  <si>
    <t>12x20</t>
  </si>
  <si>
    <t>12x22</t>
  </si>
  <si>
    <t>12x24</t>
  </si>
  <si>
    <t>12x26</t>
  </si>
  <si>
    <t>14x28</t>
  </si>
  <si>
    <t>16x28</t>
  </si>
  <si>
    <t>7x6</t>
  </si>
  <si>
    <t>7.5x10</t>
  </si>
  <si>
    <t>LB820</t>
  </si>
  <si>
    <t>LB822</t>
  </si>
  <si>
    <t>LB824</t>
  </si>
  <si>
    <t>LB826</t>
  </si>
  <si>
    <t>LB8428</t>
  </si>
  <si>
    <t>LB8628</t>
  </si>
  <si>
    <t>SL Satin Cherry</t>
  </si>
  <si>
    <t>SM Satin Mahogany</t>
  </si>
  <si>
    <t>SN Satin Natural</t>
  </si>
  <si>
    <t>SY Satin Charcoal</t>
  </si>
  <si>
    <t>STi Satin Black w/Inlay</t>
  </si>
  <si>
    <t>SNi Satin Natural w/Inlay</t>
  </si>
  <si>
    <t>ST Satin Black</t>
  </si>
  <si>
    <t xml:space="preserve">FFa Full Width Accent </t>
  </si>
  <si>
    <t>PM0062MT</t>
  </si>
  <si>
    <t>1 pr Curved Spurs</t>
  </si>
  <si>
    <t>Badges</t>
  </si>
  <si>
    <t>Large Gold Keystone</t>
  </si>
  <si>
    <t>Blue/Olive</t>
  </si>
  <si>
    <t>Gold Cast</t>
  </si>
  <si>
    <t>DM13</t>
  </si>
  <si>
    <t>DM29</t>
  </si>
  <si>
    <t>DM31</t>
  </si>
  <si>
    <t>DM35</t>
  </si>
  <si>
    <t>DM45</t>
  </si>
  <si>
    <t>DM50</t>
  </si>
  <si>
    <t>DM52</t>
  </si>
  <si>
    <t>DM54</t>
  </si>
  <si>
    <t>DM57</t>
  </si>
  <si>
    <t>DM58</t>
  </si>
  <si>
    <t>DM59</t>
  </si>
  <si>
    <t>20</t>
  </si>
  <si>
    <t>22</t>
  </si>
  <si>
    <t>26</t>
  </si>
  <si>
    <t>Gold Cast Badge</t>
  </si>
  <si>
    <t>Badge Upcharge</t>
  </si>
  <si>
    <t>Selected    /    Upcharge</t>
  </si>
  <si>
    <t>Curved Spurs</t>
  </si>
  <si>
    <t>Size (Dia) vs. Curved Spurs</t>
  </si>
  <si>
    <t>Size (depth) vs Curved Spurs</t>
  </si>
  <si>
    <t>Conflict Sizes</t>
  </si>
  <si>
    <t>2pr Curved spurs</t>
  </si>
  <si>
    <t>Size (Dia) vs. Spurs</t>
  </si>
  <si>
    <t>Size (Depth) vs Spurs</t>
  </si>
  <si>
    <t>Conflict sizes</t>
  </si>
  <si>
    <t>2 pr Curved spurs</t>
  </si>
  <si>
    <t>59 So Am Mahogany</t>
  </si>
  <si>
    <t>12x20 &amp; 14x20</t>
  </si>
  <si>
    <t>7x10 &amp; 7.5x10</t>
  </si>
  <si>
    <t>Finishes that get MH BD Hoops</t>
  </si>
  <si>
    <t>1 if Spray drum w/Wrap Hoop</t>
  </si>
  <si>
    <t>7x6 and 8x6</t>
  </si>
  <si>
    <t>Tom Tom Heads</t>
  </si>
  <si>
    <t>Tom Heads</t>
  </si>
  <si>
    <t>Double (as God intended)</t>
  </si>
  <si>
    <t>Single (Hippie rubbish)</t>
  </si>
  <si>
    <r>
      <rPr>
        <b/>
        <sz val="10"/>
        <rFont val="Calibri"/>
        <family val="2"/>
        <scheme val="minor"/>
      </rPr>
      <t>Double</t>
    </r>
    <r>
      <rPr>
        <sz val="10"/>
        <rFont val="Calibri"/>
        <family val="2"/>
        <scheme val="minor"/>
      </rPr>
      <t xml:space="preserve"> (top &amp; bottom)</t>
    </r>
  </si>
  <si>
    <t>Single (hippie rubbish)</t>
  </si>
  <si>
    <t>Double (as God Intended)</t>
  </si>
  <si>
    <t>Double/Single Heads</t>
  </si>
  <si>
    <t>7x10 &amp; 7.5s10</t>
  </si>
  <si>
    <t>Size (diameter) vs Elite Spurs</t>
  </si>
  <si>
    <t>1 if Elite Spurs</t>
  </si>
  <si>
    <t>Size/Head Conflict</t>
  </si>
  <si>
    <t>7x6 &amp; 8x6</t>
  </si>
  <si>
    <t>12x20  &amp; 14x20</t>
  </si>
  <si>
    <t>PM0045 Keystone</t>
  </si>
  <si>
    <t xml:space="preserve">Claws &amp; </t>
  </si>
  <si>
    <t>Claws vs T-Handles</t>
  </si>
  <si>
    <t>Keystone Claws</t>
  </si>
  <si>
    <t>"T"-Handles</t>
  </si>
  <si>
    <t>&gt;0 if error.</t>
  </si>
  <si>
    <t>T-Handles vs Keystone Claws</t>
  </si>
  <si>
    <t>T-Handles</t>
  </si>
  <si>
    <t>Rod/Claw Conflict</t>
  </si>
  <si>
    <t>20" deep BD vs Long Lugs</t>
  </si>
  <si>
    <t xml:space="preserve">1 if LL and 20" deep bass </t>
  </si>
  <si>
    <t>Single head option on wrap finishes only</t>
  </si>
  <si>
    <t>Spray Finishes</t>
  </si>
  <si>
    <t>Single Head Toms</t>
  </si>
  <si>
    <t>Conflict if &gt;0</t>
  </si>
  <si>
    <t>Spray Finishes vs Single Head</t>
  </si>
  <si>
    <t>LL Tom Lugs vs Single Head Tom</t>
  </si>
  <si>
    <t>LL Tom Lugs</t>
  </si>
  <si>
    <t>Returns a 1 if error.</t>
  </si>
  <si>
    <t>Brass Hardware (Snare)</t>
  </si>
  <si>
    <t>Blue/Olive Badge (each)</t>
  </si>
  <si>
    <t>Small Keystone Badge (each)</t>
  </si>
  <si>
    <t>&amp; Claws</t>
  </si>
  <si>
    <t>Not compatable with Keystone claw hooks.</t>
  </si>
  <si>
    <t>Nice!</t>
  </si>
  <si>
    <t>Excellent choice!</t>
  </si>
  <si>
    <t>Good</t>
  </si>
  <si>
    <t>Bad</t>
  </si>
  <si>
    <t>Ooooooh!</t>
  </si>
  <si>
    <t>Sweet!</t>
  </si>
  <si>
    <t>Really?</t>
  </si>
  <si>
    <t>Seriously?</t>
  </si>
  <si>
    <t xml:space="preserve">Very Fine. </t>
  </si>
  <si>
    <t>You got a second choice?</t>
  </si>
  <si>
    <t>I wouldn't.</t>
  </si>
  <si>
    <t>Possible, not advisable.</t>
  </si>
  <si>
    <t>Cool.</t>
  </si>
  <si>
    <t>You're joking, right??</t>
  </si>
  <si>
    <t>Tacky, dude.</t>
  </si>
  <si>
    <t>We may have to charge extra.</t>
  </si>
  <si>
    <t>Single (top only)</t>
  </si>
  <si>
    <t>Tom Holder (changed to allow chrome tom holders)</t>
  </si>
  <si>
    <t>(Bass Drum has Chrome Tom Holder)</t>
  </si>
  <si>
    <t>STa Satin Black w/Accent</t>
  </si>
  <si>
    <t>SNa Satin Natural w/Accent</t>
  </si>
  <si>
    <t>STa Satin Black w/Accent Inlay</t>
  </si>
  <si>
    <t>SNa Satin Natural w/Accent Inlay</t>
  </si>
  <si>
    <t>x</t>
  </si>
  <si>
    <t>d</t>
  </si>
  <si>
    <t>P32 DISCONTINUED</t>
  </si>
  <si>
    <t>PS3 Clear</t>
  </si>
  <si>
    <t>Clear Emperor</t>
  </si>
  <si>
    <t>Clear Ambassador</t>
  </si>
  <si>
    <t>Ctd Ambassador</t>
  </si>
  <si>
    <t>PS3 Ebony w/Logo</t>
  </si>
  <si>
    <t>PS3 Smth White w/Logo</t>
  </si>
  <si>
    <t>PS3 Clr w/Script Logo</t>
  </si>
  <si>
    <t>rev 4/25/16</t>
  </si>
  <si>
    <t xml:space="preserve">JW Jumbo White </t>
  </si>
  <si>
    <t>36 Olive Sparkle</t>
  </si>
  <si>
    <t>37 Teal Blue Sparkle</t>
  </si>
  <si>
    <t>2Q Vintage Blue Oyster</t>
  </si>
  <si>
    <t>NS Vintage Nickel Sparkle</t>
  </si>
  <si>
    <t>Unused</t>
  </si>
  <si>
    <t>Lacquers</t>
  </si>
  <si>
    <t>Exotics</t>
  </si>
  <si>
    <t>Not Used</t>
  </si>
  <si>
    <t>JW Jumbo White</t>
  </si>
  <si>
    <t xml:space="preserve"> Classic Maple Order Guide 16</t>
  </si>
  <si>
    <t>Legacy Order Guide  16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</si>
</sst>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1"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10"/>
      <name val="Tahoma"/>
      <family val="2"/>
    </font>
    <font>
      <b/>
      <sz val="10"/>
      <color rgb="FFFF0000"/>
      <name val="Calibri"/>
      <family val="2"/>
      <scheme val="minor"/>
    </font>
    <font>
      <b/>
      <sz val="12"/>
      <color theme="1"/>
      <name val="Calibri"/>
      <family val="2"/>
      <scheme val="minor"/>
    </font>
    <font>
      <b/>
      <sz val="10"/>
      <color rgb="FF00B050"/>
      <name val="Calibri"/>
      <family val="2"/>
      <scheme val="minor"/>
    </font>
    <font>
      <sz val="10"/>
      <color rgb="FF00B050"/>
      <name val="Calibri"/>
      <family val="2"/>
      <scheme val="minor"/>
    </font>
    <font>
      <sz val="11"/>
      <color theme="0" tint="-0.249977111117893"/>
      <name val="Calibri"/>
      <family val="2"/>
      <scheme val="minor"/>
    </font>
    <font>
      <sz val="11"/>
      <color rgb="FF00B050"/>
      <name val="Calibri"/>
      <family val="2"/>
      <scheme val="minor"/>
    </font>
    <font>
      <sz val="10"/>
      <color theme="0"/>
      <name val="Calibri"/>
      <family val="2"/>
      <scheme val="minor"/>
    </font>
    <font>
      <b/>
      <sz val="10"/>
      <color theme="0"/>
      <name val="Calibri"/>
      <family val="2"/>
      <scheme val="minor"/>
    </font>
    <font>
      <u/>
      <sz val="11"/>
      <color theme="1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
      <sz val="12"/>
      <color rgb="FFFF0000"/>
      <name val="Calibri"/>
      <family val="2"/>
      <scheme val="minor"/>
    </font>
    <font>
      <sz val="12"/>
      <color theme="1"/>
      <name val="Calibri"/>
      <family val="2"/>
      <scheme val="minor"/>
    </font>
    <font>
      <sz val="12"/>
      <color rgb="FF00B0F0"/>
      <name val="Calibri"/>
      <family val="2"/>
      <scheme val="minor"/>
    </font>
    <font>
      <sz val="10"/>
      <color rgb="FF00B0F0"/>
      <name val="Calibri"/>
      <family val="2"/>
      <scheme val="minor"/>
    </font>
    <font>
      <b/>
      <sz val="11"/>
      <color theme="0"/>
      <name val="Calibri"/>
      <family val="2"/>
      <scheme val="minor"/>
    </font>
    <font>
      <sz val="10"/>
      <name val="Calibri"/>
      <family val="2"/>
      <scheme val="minor"/>
    </font>
    <font>
      <sz val="11"/>
      <color rgb="FF00B0F0"/>
      <name val="Calibri"/>
      <family val="2"/>
      <scheme val="minor"/>
    </font>
    <font>
      <sz val="9"/>
      <color theme="1"/>
      <name val="Calibri"/>
      <family val="2"/>
      <scheme val="minor"/>
    </font>
    <font>
      <sz val="11"/>
      <color theme="0"/>
      <name val="Calibri"/>
      <family val="2"/>
      <scheme val="minor"/>
    </font>
    <font>
      <sz val="10"/>
      <color rgb="FFFF0000"/>
      <name val="Calibri"/>
      <family val="2"/>
      <scheme val="minor"/>
    </font>
    <font>
      <u/>
      <sz val="16"/>
      <color theme="10"/>
      <name val="Calibri"/>
      <family val="2"/>
      <scheme val="minor"/>
    </font>
    <font>
      <b/>
      <sz val="16"/>
      <color theme="1"/>
      <name val="Calibri"/>
      <family val="2"/>
      <scheme val="minor"/>
    </font>
    <font>
      <b/>
      <sz val="12"/>
      <color theme="0"/>
      <name val="Calibri"/>
      <family val="2"/>
      <scheme val="minor"/>
    </font>
    <font>
      <sz val="10"/>
      <color rgb="FFFF0000"/>
      <name val="Arial"/>
      <family val="2"/>
    </font>
    <font>
      <sz val="10"/>
      <color theme="0" tint="-0.249977111117893"/>
      <name val="Arial"/>
      <family val="2"/>
    </font>
    <font>
      <sz val="11"/>
      <color theme="0" tint="-0.499984740745262"/>
      <name val="Calibri"/>
      <family val="2"/>
      <scheme val="minor"/>
    </font>
    <font>
      <sz val="14"/>
      <color theme="1"/>
      <name val="Calibri"/>
      <family val="2"/>
      <scheme val="minor"/>
    </font>
    <font>
      <sz val="11"/>
      <name val="Calibri"/>
      <family val="2"/>
      <scheme val="minor"/>
    </font>
    <font>
      <b/>
      <sz val="10"/>
      <name val="Calibri"/>
      <family val="2"/>
      <scheme val="minor"/>
    </font>
    <font>
      <sz val="11"/>
      <color theme="10"/>
      <name val="Calibri"/>
      <family val="2"/>
      <scheme val="minor"/>
    </font>
    <font>
      <sz val="10"/>
      <color theme="1"/>
      <name val="Arial"/>
      <family val="2"/>
    </font>
    <font>
      <sz val="10"/>
      <color theme="0" tint="-0.249977111117893"/>
      <name val="Calibri"/>
      <family val="2"/>
      <scheme val="minor"/>
    </font>
    <font>
      <b/>
      <sz val="10"/>
      <name val="Arial"/>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0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14" fillId="0" borderId="0" applyNumberFormat="0" applyFill="0" applyBorder="0" applyAlignment="0" applyProtection="0"/>
  </cellStyleXfs>
  <cellXfs count="404">
    <xf numFmtId="0" fontId="0" fillId="0" borderId="0" xfId="0"/>
    <xf numFmtId="0" fontId="1" fillId="0" borderId="0" xfId="0" applyFont="1"/>
    <xf numFmtId="0" fontId="0" fillId="0" borderId="0" xfId="0" applyAlignment="1">
      <alignment horizontal="center"/>
    </xf>
    <xf numFmtId="0" fontId="2" fillId="0" borderId="0" xfId="0" applyFont="1"/>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Alignment="1">
      <alignment horizontal="left"/>
    </xf>
    <xf numFmtId="0" fontId="0" fillId="0" borderId="0" xfId="0" applyAlignment="1">
      <alignment horizontal="right"/>
    </xf>
    <xf numFmtId="0" fontId="0" fillId="0" borderId="1" xfId="0" applyBorder="1" applyAlignment="1">
      <alignment horizontal="center"/>
    </xf>
    <xf numFmtId="0" fontId="2" fillId="0" borderId="0" xfId="0" applyFont="1" applyAlignment="1">
      <alignment horizontal="right"/>
    </xf>
    <xf numFmtId="0" fontId="6" fillId="0" borderId="0" xfId="0" applyFont="1"/>
    <xf numFmtId="0" fontId="6" fillId="0" borderId="0" xfId="0" applyFont="1" applyAlignment="1">
      <alignment horizontal="right"/>
    </xf>
    <xf numFmtId="0" fontId="0" fillId="0" borderId="1" xfId="0" applyFill="1" applyBorder="1" applyAlignment="1">
      <alignment horizontal="center"/>
    </xf>
    <xf numFmtId="0" fontId="6" fillId="0" borderId="0" xfId="0" applyFont="1" applyAlignment="1">
      <alignment horizontal="left"/>
    </xf>
    <xf numFmtId="0" fontId="2" fillId="0" borderId="1" xfId="0" applyFont="1"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2" fillId="0" borderId="0" xfId="0" applyFont="1" applyFill="1" applyBorder="1"/>
    <xf numFmtId="0" fontId="2" fillId="0" borderId="0" xfId="0" applyFont="1" applyFill="1" applyBorder="1" applyAlignment="1">
      <alignment horizontal="left"/>
    </xf>
    <xf numFmtId="0" fontId="2" fillId="0" borderId="0" xfId="0" applyFont="1" applyBorder="1" applyAlignment="1">
      <alignment horizontal="center"/>
    </xf>
    <xf numFmtId="0" fontId="0" fillId="0" borderId="1" xfId="0" applyBorder="1"/>
    <xf numFmtId="0" fontId="8" fillId="0" borderId="0" xfId="0" applyFont="1" applyAlignment="1">
      <alignment horizontal="center"/>
    </xf>
    <xf numFmtId="0" fontId="8" fillId="0" borderId="0" xfId="0" applyFont="1"/>
    <xf numFmtId="0" fontId="9" fillId="0" borderId="0" xfId="0" applyFont="1"/>
    <xf numFmtId="0" fontId="2" fillId="0" borderId="0" xfId="0" applyFont="1" applyFill="1" applyBorder="1" applyAlignment="1">
      <alignment horizontal="right"/>
    </xf>
    <xf numFmtId="0" fontId="2" fillId="0" borderId="2" xfId="0" applyFont="1" applyFill="1" applyBorder="1" applyAlignment="1">
      <alignment horizontal="center"/>
    </xf>
    <xf numFmtId="0" fontId="0" fillId="0" borderId="2" xfId="0" applyFill="1" applyBorder="1" applyAlignment="1">
      <alignment horizontal="center"/>
    </xf>
    <xf numFmtId="0" fontId="2" fillId="0" borderId="0" xfId="0" applyFont="1" applyFill="1" applyBorder="1" applyAlignment="1">
      <alignment horizontal="center"/>
    </xf>
    <xf numFmtId="0" fontId="0" fillId="0" borderId="2" xfId="0" applyBorder="1"/>
    <xf numFmtId="0" fontId="0" fillId="0" borderId="0" xfId="0" applyFill="1" applyBorder="1" applyAlignment="1">
      <alignment horizontal="right"/>
    </xf>
    <xf numFmtId="0" fontId="0" fillId="2" borderId="0" xfId="0" applyFill="1" applyAlignment="1">
      <alignment horizontal="center"/>
    </xf>
    <xf numFmtId="0" fontId="0" fillId="0" borderId="4" xfId="0" applyBorder="1"/>
    <xf numFmtId="0" fontId="10" fillId="0" borderId="0" xfId="0" applyFont="1" applyAlignment="1">
      <alignment horizontal="center"/>
    </xf>
    <xf numFmtId="0" fontId="0" fillId="0" borderId="4" xfId="0" applyBorder="1" applyAlignment="1">
      <alignment horizontal="center"/>
    </xf>
    <xf numFmtId="0" fontId="9" fillId="0" borderId="0" xfId="0" applyFont="1" applyAlignment="1">
      <alignment horizontal="center"/>
    </xf>
    <xf numFmtId="0" fontId="11" fillId="0" borderId="0" xfId="0" applyFont="1"/>
    <xf numFmtId="0" fontId="4" fillId="0" borderId="0" xfId="0" applyFont="1" applyFill="1" applyBorder="1" applyAlignment="1">
      <alignment horizontal="center"/>
    </xf>
    <xf numFmtId="0" fontId="0" fillId="0" borderId="0" xfId="0" applyFill="1"/>
    <xf numFmtId="0" fontId="11" fillId="0" borderId="0" xfId="0" applyFont="1" applyAlignment="1">
      <alignment horizontal="center"/>
    </xf>
    <xf numFmtId="0" fontId="9" fillId="2" borderId="0" xfId="0" applyFont="1" applyFill="1" applyAlignment="1">
      <alignment horizontal="center"/>
    </xf>
    <xf numFmtId="0" fontId="9" fillId="2" borderId="0" xfId="0" applyFont="1" applyFill="1" applyBorder="1" applyAlignment="1">
      <alignment horizontal="center"/>
    </xf>
    <xf numFmtId="0" fontId="0" fillId="0" borderId="0" xfId="0" applyFill="1" applyBorder="1"/>
    <xf numFmtId="0" fontId="11" fillId="0" borderId="0" xfId="0" applyFont="1" applyBorder="1" applyAlignment="1">
      <alignment horizontal="center"/>
    </xf>
    <xf numFmtId="0" fontId="11" fillId="2" borderId="0" xfId="0" applyFont="1" applyFill="1" applyAlignment="1">
      <alignment horizontal="center"/>
    </xf>
    <xf numFmtId="0" fontId="9" fillId="0" borderId="0" xfId="0" applyFont="1" applyBorder="1" applyAlignment="1">
      <alignment horizontal="center"/>
    </xf>
    <xf numFmtId="0" fontId="0" fillId="0" borderId="4" xfId="0" applyFill="1" applyBorder="1"/>
    <xf numFmtId="0" fontId="11" fillId="2" borderId="0" xfId="0" applyFont="1" applyFill="1" applyBorder="1" applyAlignment="1">
      <alignment horizontal="center"/>
    </xf>
    <xf numFmtId="0" fontId="0" fillId="0" borderId="4" xfId="0" applyFill="1" applyBorder="1" applyAlignment="1">
      <alignment horizontal="right"/>
    </xf>
    <xf numFmtId="0" fontId="11" fillId="2" borderId="0" xfId="0" applyFont="1" applyFill="1"/>
    <xf numFmtId="0" fontId="9" fillId="0" borderId="0" xfId="0" applyFont="1" applyFill="1" applyBorder="1" applyAlignment="1">
      <alignment horizontal="left"/>
    </xf>
    <xf numFmtId="0" fontId="2" fillId="3" borderId="0" xfId="0" applyFont="1" applyFill="1"/>
    <xf numFmtId="0" fontId="2" fillId="3" borderId="0" xfId="0" applyFont="1" applyFill="1" applyAlignment="1">
      <alignment horizontal="left"/>
    </xf>
    <xf numFmtId="0" fontId="0" fillId="3" borderId="0" xfId="0" applyFill="1"/>
    <xf numFmtId="0" fontId="3" fillId="3" borderId="0" xfId="0" applyFont="1" applyFill="1"/>
    <xf numFmtId="0" fontId="2" fillId="3" borderId="0" xfId="0" applyFont="1" applyFill="1" applyAlignment="1">
      <alignment horizontal="center"/>
    </xf>
    <xf numFmtId="0" fontId="7" fillId="3" borderId="0" xfId="0" applyFont="1" applyFill="1"/>
    <xf numFmtId="0" fontId="6" fillId="3" borderId="0" xfId="0" applyFont="1" applyFill="1"/>
    <xf numFmtId="0" fontId="13" fillId="3" borderId="0" xfId="0" applyFont="1" applyFill="1" applyAlignment="1">
      <alignment horizontal="center"/>
    </xf>
    <xf numFmtId="0" fontId="6" fillId="3" borderId="0" xfId="0" applyFont="1" applyFill="1" applyAlignment="1">
      <alignment horizontal="right"/>
    </xf>
    <xf numFmtId="0" fontId="6" fillId="3" borderId="0" xfId="0" applyFont="1" applyFill="1" applyAlignment="1">
      <alignment horizontal="left"/>
    </xf>
    <xf numFmtId="0" fontId="2" fillId="3" borderId="0" xfId="0" applyFont="1" applyFill="1" applyAlignment="1">
      <alignment horizontal="right"/>
    </xf>
    <xf numFmtId="0" fontId="0" fillId="3" borderId="1" xfId="0" applyFill="1" applyBorder="1" applyAlignment="1">
      <alignment horizontal="center"/>
    </xf>
    <xf numFmtId="0" fontId="2" fillId="3" borderId="0" xfId="0" applyFont="1" applyFill="1" applyBorder="1"/>
    <xf numFmtId="0" fontId="5" fillId="3" borderId="0" xfId="0" applyFont="1" applyFill="1" applyBorder="1"/>
    <xf numFmtId="0" fontId="6" fillId="3" borderId="0" xfId="0" applyFont="1" applyFill="1" applyAlignment="1">
      <alignment horizontal="center"/>
    </xf>
    <xf numFmtId="0" fontId="7" fillId="0" borderId="0" xfId="0" applyFont="1"/>
    <xf numFmtId="0" fontId="15" fillId="0" borderId="0" xfId="0" applyFont="1"/>
    <xf numFmtId="0" fontId="7" fillId="0" borderId="0" xfId="0" applyFont="1" applyAlignment="1">
      <alignment horizontal="left"/>
    </xf>
    <xf numFmtId="0" fontId="17" fillId="0" borderId="0" xfId="0" applyFont="1"/>
    <xf numFmtId="0" fontId="16" fillId="0" borderId="0" xfId="0" applyFont="1"/>
    <xf numFmtId="0" fontId="3" fillId="3" borderId="0" xfId="0" applyFont="1" applyFill="1" applyAlignment="1">
      <alignment horizontal="center"/>
    </xf>
    <xf numFmtId="0" fontId="2" fillId="3" borderId="6" xfId="0" applyFont="1" applyFill="1" applyBorder="1"/>
    <xf numFmtId="164" fontId="12" fillId="3" borderId="7" xfId="0" applyNumberFormat="1" applyFont="1" applyFill="1" applyBorder="1" applyAlignment="1">
      <alignment horizontal="right"/>
    </xf>
    <xf numFmtId="0" fontId="2" fillId="3" borderId="8" xfId="0" applyFont="1" applyFill="1" applyBorder="1"/>
    <xf numFmtId="164" fontId="12" fillId="3" borderId="5" xfId="0" applyNumberFormat="1" applyFont="1" applyFill="1" applyBorder="1" applyAlignment="1">
      <alignment horizontal="right"/>
    </xf>
    <xf numFmtId="0" fontId="2" fillId="3" borderId="9" xfId="0" applyFont="1" applyFill="1" applyBorder="1"/>
    <xf numFmtId="164" fontId="12" fillId="3" borderId="10" xfId="0" applyNumberFormat="1" applyFont="1" applyFill="1" applyBorder="1" applyAlignment="1">
      <alignment horizontal="right"/>
    </xf>
    <xf numFmtId="164" fontId="2" fillId="3" borderId="0" xfId="0" applyNumberFormat="1" applyFont="1" applyFill="1" applyAlignment="1">
      <alignment horizontal="left"/>
    </xf>
    <xf numFmtId="164" fontId="12" fillId="3" borderId="0" xfId="0" applyNumberFormat="1" applyFont="1" applyFill="1" applyBorder="1" applyAlignment="1">
      <alignment horizontal="right"/>
    </xf>
    <xf numFmtId="164" fontId="12" fillId="3" borderId="3" xfId="0" applyNumberFormat="1" applyFont="1" applyFill="1" applyBorder="1" applyAlignment="1">
      <alignment horizontal="right"/>
    </xf>
    <xf numFmtId="164" fontId="12" fillId="3" borderId="8" xfId="0" applyNumberFormat="1" applyFont="1" applyFill="1" applyBorder="1" applyAlignment="1">
      <alignment horizontal="right"/>
    </xf>
    <xf numFmtId="0" fontId="6" fillId="3" borderId="0" xfId="0" applyFont="1" applyFill="1" applyBorder="1"/>
    <xf numFmtId="0" fontId="0" fillId="3" borderId="0" xfId="0" applyFill="1" applyBorder="1"/>
    <xf numFmtId="0" fontId="2" fillId="4" borderId="1" xfId="0" applyFont="1" applyFill="1" applyBorder="1" applyAlignment="1">
      <alignment horizontal="center"/>
    </xf>
    <xf numFmtId="0" fontId="0" fillId="4" borderId="0" xfId="0" applyFill="1" applyBorder="1" applyAlignment="1">
      <alignment horizontal="center"/>
    </xf>
    <xf numFmtId="0" fontId="0" fillId="4" borderId="0" xfId="0" applyFill="1"/>
    <xf numFmtId="0" fontId="19" fillId="0" borderId="0" xfId="0" applyFont="1"/>
    <xf numFmtId="0" fontId="20" fillId="0" borderId="0" xfId="0" applyFont="1"/>
    <xf numFmtId="0" fontId="21" fillId="0" borderId="0" xfId="0" applyFont="1"/>
    <xf numFmtId="0" fontId="0" fillId="5" borderId="0" xfId="0" applyFill="1"/>
    <xf numFmtId="0" fontId="19" fillId="0" borderId="0" xfId="0" applyFont="1" applyAlignment="1">
      <alignment horizontal="center"/>
    </xf>
    <xf numFmtId="164" fontId="0" fillId="0" borderId="0" xfId="0" applyNumberFormat="1" applyAlignment="1">
      <alignment horizontal="center"/>
    </xf>
    <xf numFmtId="0" fontId="17" fillId="3" borderId="0" xfId="0" applyFont="1" applyFill="1"/>
    <xf numFmtId="0" fontId="4" fillId="0" borderId="1" xfId="0" applyFont="1" applyFill="1" applyBorder="1" applyAlignment="1" applyProtection="1">
      <alignment horizontal="center"/>
      <protection locked="0"/>
    </xf>
    <xf numFmtId="0" fontId="4" fillId="3" borderId="1" xfId="0" applyFont="1" applyFill="1" applyBorder="1" applyAlignment="1" applyProtection="1">
      <alignment horizontal="center"/>
      <protection locked="0"/>
    </xf>
    <xf numFmtId="0" fontId="5" fillId="3" borderId="1" xfId="0" applyFont="1" applyFill="1" applyBorder="1" applyAlignment="1" applyProtection="1">
      <alignment horizontal="center"/>
      <protection locked="0"/>
    </xf>
    <xf numFmtId="49" fontId="4" fillId="3" borderId="1" xfId="0" applyNumberFormat="1" applyFont="1" applyFill="1" applyBorder="1" applyAlignment="1" applyProtection="1">
      <alignment horizontal="center"/>
      <protection locked="0"/>
    </xf>
    <xf numFmtId="0" fontId="4" fillId="3" borderId="11" xfId="0" applyFont="1" applyFill="1" applyBorder="1" applyAlignment="1" applyProtection="1">
      <alignment horizontal="center"/>
      <protection locked="0"/>
    </xf>
    <xf numFmtId="0" fontId="2" fillId="3" borderId="1" xfId="0" applyFont="1" applyFill="1" applyBorder="1" applyAlignment="1" applyProtection="1">
      <alignment horizontal="center"/>
      <protection locked="0"/>
    </xf>
    <xf numFmtId="0" fontId="3" fillId="3" borderId="0" xfId="0" applyFont="1" applyFill="1" applyAlignment="1">
      <alignment horizontal="left"/>
    </xf>
    <xf numFmtId="0" fontId="0" fillId="3" borderId="1" xfId="0" applyFill="1" applyBorder="1" applyAlignment="1" applyProtection="1">
      <alignment horizontal="center"/>
      <protection locked="0"/>
    </xf>
    <xf numFmtId="0" fontId="2" fillId="0" borderId="0" xfId="0" applyFont="1" applyBorder="1" applyAlignment="1">
      <alignment horizontal="left"/>
    </xf>
    <xf numFmtId="0" fontId="3" fillId="3" borderId="0" xfId="0" applyFont="1" applyFill="1" applyBorder="1"/>
    <xf numFmtId="0" fontId="0" fillId="5" borderId="12" xfId="0" applyFill="1" applyBorder="1"/>
    <xf numFmtId="0" fontId="2" fillId="5" borderId="0" xfId="0" applyFont="1" applyFill="1"/>
    <xf numFmtId="0" fontId="2" fillId="5" borderId="12" xfId="0" applyFont="1" applyFill="1" applyBorder="1"/>
    <xf numFmtId="0" fontId="0" fillId="6" borderId="0" xfId="0" applyFill="1"/>
    <xf numFmtId="0" fontId="0" fillId="6" borderId="12" xfId="0" applyFill="1" applyBorder="1"/>
    <xf numFmtId="0" fontId="2" fillId="6" borderId="0" xfId="0" applyFont="1" applyFill="1"/>
    <xf numFmtId="0" fontId="2" fillId="6" borderId="12" xfId="0" applyFont="1" applyFill="1" applyBorder="1"/>
    <xf numFmtId="0" fontId="23" fillId="3" borderId="0" xfId="0" applyFont="1" applyFill="1"/>
    <xf numFmtId="0" fontId="13" fillId="3" borderId="0" xfId="0" applyFont="1" applyFill="1"/>
    <xf numFmtId="0" fontId="13" fillId="3" borderId="0" xfId="0" applyFont="1" applyFill="1" applyAlignment="1">
      <alignment vertical="center"/>
    </xf>
    <xf numFmtId="0" fontId="22" fillId="3" borderId="0" xfId="0" applyFont="1" applyFill="1"/>
    <xf numFmtId="0" fontId="2" fillId="3" borderId="11" xfId="0" applyFont="1" applyFill="1" applyBorder="1" applyAlignment="1" applyProtection="1">
      <alignment horizontal="center"/>
      <protection locked="0"/>
    </xf>
    <xf numFmtId="0" fontId="2" fillId="0" borderId="1" xfId="0" applyFont="1" applyBorder="1" applyAlignment="1" applyProtection="1">
      <alignment horizontal="center"/>
      <protection locked="0"/>
    </xf>
    <xf numFmtId="0" fontId="13" fillId="3" borderId="0" xfId="0" applyFont="1" applyFill="1" applyAlignment="1">
      <alignment horizontal="right"/>
    </xf>
    <xf numFmtId="0" fontId="0" fillId="0" borderId="6" xfId="0" applyBorder="1"/>
    <xf numFmtId="0" fontId="0" fillId="0" borderId="7" xfId="0" applyBorder="1"/>
    <xf numFmtId="0" fontId="0" fillId="0" borderId="8" xfId="0" applyBorder="1"/>
    <xf numFmtId="0" fontId="0" fillId="0" borderId="0" xfId="0" applyBorder="1"/>
    <xf numFmtId="0" fontId="0" fillId="0" borderId="5" xfId="0" applyBorder="1"/>
    <xf numFmtId="0" fontId="0" fillId="2" borderId="8" xfId="0" applyFill="1" applyBorder="1"/>
    <xf numFmtId="0" fontId="0" fillId="2" borderId="5" xfId="0" applyFill="1" applyBorder="1"/>
    <xf numFmtId="0" fontId="0" fillId="0" borderId="9" xfId="0" applyBorder="1"/>
    <xf numFmtId="0" fontId="0" fillId="0" borderId="10" xfId="0" applyBorder="1"/>
    <xf numFmtId="0" fontId="0" fillId="2" borderId="9" xfId="0" applyFill="1" applyBorder="1"/>
    <xf numFmtId="0" fontId="0" fillId="0" borderId="8" xfId="0" applyFont="1" applyBorder="1"/>
    <xf numFmtId="0" fontId="0" fillId="0" borderId="6" xfId="0" applyFill="1" applyBorder="1"/>
    <xf numFmtId="0" fontId="0" fillId="0" borderId="7" xfId="0" applyFill="1" applyBorder="1"/>
    <xf numFmtId="0" fontId="0" fillId="0" borderId="8" xfId="0" applyFill="1" applyBorder="1"/>
    <xf numFmtId="0" fontId="0" fillId="0" borderId="5" xfId="0" applyFill="1" applyBorder="1"/>
    <xf numFmtId="0" fontId="2" fillId="0" borderId="8" xfId="0" applyFont="1" applyFill="1" applyBorder="1"/>
    <xf numFmtId="0" fontId="2" fillId="0" borderId="5" xfId="0" applyFont="1" applyFill="1" applyBorder="1"/>
    <xf numFmtId="0" fontId="0" fillId="0" borderId="9" xfId="0" applyFill="1" applyBorder="1"/>
    <xf numFmtId="0" fontId="0" fillId="0" borderId="10" xfId="0" applyFill="1" applyBorder="1"/>
    <xf numFmtId="0" fontId="2" fillId="0" borderId="5" xfId="0" applyFont="1" applyBorder="1" applyAlignment="1">
      <alignment horizontal="left"/>
    </xf>
    <xf numFmtId="0" fontId="2" fillId="0" borderId="5" xfId="0" applyFont="1" applyBorder="1"/>
    <xf numFmtId="0" fontId="2" fillId="2" borderId="5" xfId="0" applyFont="1" applyFill="1" applyBorder="1"/>
    <xf numFmtId="0" fontId="2" fillId="2" borderId="10" xfId="0" applyFont="1" applyFill="1" applyBorder="1"/>
    <xf numFmtId="0" fontId="2" fillId="0" borderId="7" xfId="0" applyFont="1" applyBorder="1"/>
    <xf numFmtId="0" fontId="2" fillId="0" borderId="0" xfId="0" applyFont="1" applyFill="1" applyAlignment="1">
      <alignment horizontal="center"/>
    </xf>
    <xf numFmtId="0" fontId="2" fillId="0" borderId="10" xfId="0" applyFont="1" applyBorder="1"/>
    <xf numFmtId="0" fontId="24" fillId="0" borderId="5" xfId="0" applyFont="1" applyBorder="1"/>
    <xf numFmtId="0" fontId="2" fillId="2" borderId="5" xfId="0" applyFont="1" applyFill="1" applyBorder="1" applyAlignment="1">
      <alignment horizontal="left"/>
    </xf>
    <xf numFmtId="0" fontId="25" fillId="0" borderId="5" xfId="0" applyFont="1" applyBorder="1"/>
    <xf numFmtId="0" fontId="13" fillId="3" borderId="0" xfId="0" applyFont="1" applyFill="1" applyAlignment="1">
      <alignment horizontal="left"/>
    </xf>
    <xf numFmtId="0" fontId="12" fillId="3" borderId="0" xfId="0" applyFont="1" applyFill="1"/>
    <xf numFmtId="0" fontId="26" fillId="3" borderId="0" xfId="0" applyFont="1" applyFill="1"/>
    <xf numFmtId="0" fontId="0" fillId="5" borderId="0" xfId="0" applyFill="1" applyAlignment="1">
      <alignment horizontal="center"/>
    </xf>
    <xf numFmtId="0" fontId="2" fillId="0" borderId="0" xfId="0" applyFont="1" applyFill="1"/>
    <xf numFmtId="0" fontId="0" fillId="2" borderId="0" xfId="0" applyFill="1"/>
    <xf numFmtId="0" fontId="23" fillId="3" borderId="8" xfId="0" applyFont="1" applyFill="1" applyBorder="1"/>
    <xf numFmtId="0" fontId="17" fillId="3" borderId="0" xfId="0" applyFont="1" applyFill="1" applyAlignment="1">
      <alignment horizontal="right"/>
    </xf>
    <xf numFmtId="0" fontId="0" fillId="0" borderId="12" xfId="0" applyBorder="1"/>
    <xf numFmtId="0" fontId="16" fillId="0" borderId="0" xfId="0" applyFont="1" applyAlignment="1">
      <alignment horizontal="center"/>
    </xf>
    <xf numFmtId="0" fontId="2" fillId="0" borderId="12" xfId="0" applyFont="1" applyBorder="1"/>
    <xf numFmtId="0" fontId="27" fillId="0" borderId="0" xfId="0" applyFont="1" applyAlignment="1">
      <alignment horizontal="center"/>
    </xf>
    <xf numFmtId="0" fontId="2" fillId="0" borderId="0" xfId="0" applyFont="1" applyAlignment="1">
      <alignment horizontal="center"/>
    </xf>
    <xf numFmtId="0" fontId="0" fillId="0" borderId="0" xfId="0" applyAlignment="1">
      <alignment horizontal="center"/>
    </xf>
    <xf numFmtId="0" fontId="0" fillId="0" borderId="13" xfId="0" applyBorder="1"/>
    <xf numFmtId="0" fontId="0" fillId="0" borderId="3" xfId="0" applyBorder="1"/>
    <xf numFmtId="0" fontId="0" fillId="0" borderId="14" xfId="0" applyBorder="1"/>
    <xf numFmtId="0" fontId="0" fillId="2" borderId="1" xfId="0" applyFill="1" applyBorder="1"/>
    <xf numFmtId="49" fontId="0" fillId="0" borderId="0" xfId="0" applyNumberFormat="1" applyAlignment="1">
      <alignment horizontal="center"/>
    </xf>
    <xf numFmtId="0" fontId="2" fillId="0" borderId="12" xfId="0" applyFont="1" applyBorder="1" applyAlignment="1">
      <alignment horizontal="center"/>
    </xf>
    <xf numFmtId="49" fontId="0" fillId="0" borderId="12" xfId="0" applyNumberFormat="1" applyBorder="1" applyAlignment="1">
      <alignment horizontal="center"/>
    </xf>
    <xf numFmtId="0" fontId="0" fillId="0" borderId="12" xfId="0" applyFill="1" applyBorder="1"/>
    <xf numFmtId="0" fontId="2" fillId="0" borderId="0" xfId="0" applyFont="1" applyProtection="1">
      <protection locked="0"/>
    </xf>
    <xf numFmtId="0" fontId="2" fillId="3" borderId="0" xfId="0" applyFont="1" applyFill="1" applyProtection="1"/>
    <xf numFmtId="0" fontId="2" fillId="0" borderId="4" xfId="0" applyFont="1" applyBorder="1"/>
    <xf numFmtId="0" fontId="0" fillId="0" borderId="14" xfId="0" applyBorder="1" applyAlignment="1">
      <alignment horizontal="center"/>
    </xf>
    <xf numFmtId="0" fontId="2" fillId="0" borderId="4" xfId="0" applyFont="1" applyBorder="1" applyAlignment="1">
      <alignment horizontal="center"/>
    </xf>
    <xf numFmtId="0" fontId="9" fillId="0" borderId="4" xfId="0" applyFont="1" applyBorder="1"/>
    <xf numFmtId="0" fontId="9" fillId="0" borderId="10" xfId="0" applyFont="1" applyBorder="1"/>
    <xf numFmtId="0" fontId="0" fillId="5" borderId="4" xfId="0" applyFill="1" applyBorder="1" applyAlignment="1">
      <alignment horizontal="center"/>
    </xf>
    <xf numFmtId="0" fontId="1" fillId="3" borderId="0" xfId="0" applyFont="1" applyFill="1" applyAlignment="1">
      <alignment horizontal="right"/>
    </xf>
    <xf numFmtId="0" fontId="1" fillId="0" borderId="0" xfId="0" applyFont="1" applyAlignment="1">
      <alignment horizontal="right"/>
    </xf>
    <xf numFmtId="0" fontId="0" fillId="0" borderId="15" xfId="0" applyBorder="1"/>
    <xf numFmtId="0" fontId="29" fillId="0" borderId="0" xfId="0" applyFont="1"/>
    <xf numFmtId="0" fontId="27" fillId="0" borderId="0" xfId="0" applyFont="1"/>
    <xf numFmtId="0" fontId="28" fillId="0" borderId="0" xfId="1" applyFont="1" applyAlignment="1" applyProtection="1">
      <protection locked="0"/>
    </xf>
    <xf numFmtId="0" fontId="17" fillId="0" borderId="6" xfId="0" applyFont="1" applyBorder="1"/>
    <xf numFmtId="0" fontId="2" fillId="0" borderId="8" xfId="0" applyFont="1" applyBorder="1"/>
    <xf numFmtId="164" fontId="2" fillId="0" borderId="0" xfId="0" applyNumberFormat="1" applyFont="1"/>
    <xf numFmtId="164" fontId="2" fillId="0" borderId="0" xfId="0" applyNumberFormat="1" applyFont="1" applyAlignment="1">
      <alignment horizontal="center"/>
    </xf>
    <xf numFmtId="0" fontId="30" fillId="0" borderId="0" xfId="0" applyFont="1" applyAlignment="1">
      <alignment horizontal="center" vertical="center"/>
    </xf>
    <xf numFmtId="0" fontId="16" fillId="2" borderId="0" xfId="0" applyFont="1" applyFill="1"/>
    <xf numFmtId="0" fontId="17" fillId="2" borderId="0" xfId="0" applyFont="1" applyFill="1"/>
    <xf numFmtId="0" fontId="0" fillId="2" borderId="0" xfId="0" applyFill="1" applyBorder="1"/>
    <xf numFmtId="0" fontId="0" fillId="7" borderId="0" xfId="0" applyFill="1"/>
    <xf numFmtId="0" fontId="16" fillId="0" borderId="0" xfId="0" applyFont="1" applyFill="1"/>
    <xf numFmtId="0" fontId="0" fillId="0" borderId="0" xfId="0" applyAlignment="1">
      <alignment horizontal="center"/>
    </xf>
    <xf numFmtId="0" fontId="0" fillId="0" borderId="0" xfId="0" applyAlignment="1">
      <alignment horizontal="center"/>
    </xf>
    <xf numFmtId="0" fontId="1" fillId="0" borderId="0" xfId="0" applyFont="1" applyBorder="1"/>
    <xf numFmtId="0" fontId="10" fillId="0" borderId="0" xfId="0" applyFont="1"/>
    <xf numFmtId="164" fontId="31" fillId="0" borderId="0" xfId="0" applyNumberFormat="1" applyFont="1" applyFill="1" applyBorder="1" applyAlignment="1">
      <alignment horizontal="center"/>
    </xf>
    <xf numFmtId="164" fontId="16" fillId="0" borderId="0" xfId="0" applyNumberFormat="1" applyFont="1" applyFill="1" applyBorder="1"/>
    <xf numFmtId="164" fontId="32" fillId="0" borderId="0" xfId="0" applyNumberFormat="1" applyFont="1" applyFill="1" applyBorder="1" applyAlignment="1">
      <alignment horizontal="center"/>
    </xf>
    <xf numFmtId="164" fontId="10" fillId="0" borderId="0" xfId="0" applyNumberFormat="1" applyFont="1" applyFill="1" applyBorder="1"/>
    <xf numFmtId="0" fontId="16" fillId="0" borderId="0" xfId="0" applyFont="1" applyAlignment="1">
      <alignment horizontal="right"/>
    </xf>
    <xf numFmtId="164" fontId="16" fillId="0" borderId="0" xfId="0" applyNumberFormat="1" applyFont="1"/>
    <xf numFmtId="0" fontId="24" fillId="0" borderId="0" xfId="0" applyFont="1"/>
    <xf numFmtId="0" fontId="0" fillId="0" borderId="0" xfId="0" applyAlignment="1">
      <alignment horizontal="center"/>
    </xf>
    <xf numFmtId="164" fontId="0" fillId="0" borderId="0" xfId="0" applyNumberFormat="1"/>
    <xf numFmtId="0" fontId="10" fillId="0" borderId="0" xfId="0" applyFont="1" applyFill="1" applyBorder="1"/>
    <xf numFmtId="0" fontId="22" fillId="0" borderId="0" xfId="0" applyFont="1"/>
    <xf numFmtId="0" fontId="33" fillId="0" borderId="0" xfId="0" applyFont="1"/>
    <xf numFmtId="14" fontId="0" fillId="0" borderId="0" xfId="0" applyNumberFormat="1"/>
    <xf numFmtId="0" fontId="0" fillId="0" borderId="0" xfId="0" applyAlignment="1">
      <alignment horizontal="left"/>
    </xf>
    <xf numFmtId="0" fontId="0" fillId="0" borderId="1" xfId="0" applyBorder="1" applyAlignment="1" applyProtection="1">
      <alignment horizontal="center"/>
      <protection locked="0"/>
    </xf>
    <xf numFmtId="0" fontId="0" fillId="0" borderId="0" xfId="0" applyAlignment="1">
      <alignment horizontal="center"/>
    </xf>
    <xf numFmtId="0" fontId="0" fillId="0" borderId="0" xfId="0" applyAlignment="1">
      <alignment horizontal="left" vertical="top" wrapText="1"/>
    </xf>
    <xf numFmtId="0" fontId="0" fillId="0" borderId="0" xfId="0" applyAlignment="1">
      <alignment wrapText="1"/>
    </xf>
    <xf numFmtId="0" fontId="8" fillId="7" borderId="0" xfId="0" applyFont="1" applyFill="1"/>
    <xf numFmtId="0" fontId="0" fillId="7" borderId="0" xfId="0" applyFill="1" applyAlignment="1">
      <alignment horizontal="center"/>
    </xf>
    <xf numFmtId="0" fontId="24" fillId="0" borderId="1" xfId="0" applyFont="1" applyBorder="1" applyAlignment="1">
      <alignment horizontal="center"/>
    </xf>
    <xf numFmtId="0" fontId="16" fillId="0" borderId="1" xfId="0" applyFont="1" applyBorder="1"/>
    <xf numFmtId="0" fontId="16" fillId="0" borderId="1" xfId="0" applyFont="1" applyFill="1" applyBorder="1"/>
    <xf numFmtId="0" fontId="0" fillId="0" borderId="0" xfId="0" applyAlignment="1">
      <alignment vertical="center" wrapText="1"/>
    </xf>
    <xf numFmtId="0" fontId="2" fillId="0" borderId="0" xfId="0" applyFont="1" applyAlignment="1">
      <alignment horizontal="center"/>
    </xf>
    <xf numFmtId="0" fontId="0" fillId="0" borderId="0" xfId="0" applyAlignment="1">
      <alignment horizontal="center"/>
    </xf>
    <xf numFmtId="0" fontId="0" fillId="0" borderId="0" xfId="0" applyAlignment="1">
      <alignment wrapText="1"/>
    </xf>
    <xf numFmtId="0" fontId="0" fillId="0" borderId="12" xfId="0" applyBorder="1" applyAlignment="1">
      <alignment horizontal="center"/>
    </xf>
    <xf numFmtId="0" fontId="22" fillId="3" borderId="0" xfId="0" applyFont="1" applyFill="1" applyBorder="1"/>
    <xf numFmtId="0" fontId="4" fillId="0" borderId="14" xfId="0" applyFont="1" applyFill="1" applyBorder="1" applyAlignment="1" applyProtection="1">
      <alignment horizontal="center"/>
      <protection locked="0"/>
    </xf>
    <xf numFmtId="0" fontId="16" fillId="0" borderId="4" xfId="0" applyFont="1" applyBorder="1"/>
    <xf numFmtId="0" fontId="0" fillId="8" borderId="0" xfId="0" applyFill="1"/>
    <xf numFmtId="0" fontId="9" fillId="0" borderId="0" xfId="0" applyFont="1" applyBorder="1"/>
    <xf numFmtId="0" fontId="2" fillId="0" borderId="6" xfId="0" applyFont="1" applyBorder="1"/>
    <xf numFmtId="0" fontId="0" fillId="0" borderId="0" xfId="0" applyAlignment="1">
      <alignment horizontal="left" vertical="top" wrapText="1"/>
    </xf>
    <xf numFmtId="0" fontId="4" fillId="0" borderId="16"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4" fillId="3" borderId="16" xfId="0" applyFont="1" applyFill="1" applyBorder="1" applyAlignment="1" applyProtection="1">
      <alignment horizontal="center"/>
      <protection locked="0"/>
    </xf>
    <xf numFmtId="0" fontId="2" fillId="0" borderId="0" xfId="0" applyFont="1" applyFill="1" applyProtection="1">
      <protection locked="0"/>
    </xf>
    <xf numFmtId="0" fontId="2" fillId="0" borderId="0" xfId="0" applyFont="1" applyFill="1" applyAlignment="1">
      <alignment horizontal="left"/>
    </xf>
    <xf numFmtId="0" fontId="15" fillId="0" borderId="0" xfId="0" applyFont="1" applyFill="1"/>
    <xf numFmtId="0" fontId="3" fillId="0" borderId="0" xfId="0" applyFont="1" applyFill="1"/>
    <xf numFmtId="0" fontId="28" fillId="0" borderId="0" xfId="1" applyFont="1" applyFill="1" applyAlignment="1" applyProtection="1">
      <protection locked="0"/>
    </xf>
    <xf numFmtId="0" fontId="1" fillId="0" borderId="0" xfId="0" applyFont="1" applyFill="1"/>
    <xf numFmtId="0" fontId="29" fillId="0" borderId="0" xfId="0" applyFont="1" applyFill="1"/>
    <xf numFmtId="0" fontId="29" fillId="0" borderId="0" xfId="0" applyFont="1" applyAlignment="1">
      <alignment horizontal="left"/>
    </xf>
    <xf numFmtId="0" fontId="1" fillId="0" borderId="0" xfId="0" applyFont="1" applyFill="1" applyBorder="1"/>
    <xf numFmtId="0" fontId="0" fillId="0" borderId="0" xfId="0" applyAlignment="1">
      <alignment vertical="top" wrapText="1"/>
    </xf>
    <xf numFmtId="0" fontId="0" fillId="0" borderId="0" xfId="0" applyAlignment="1">
      <alignment vertical="top"/>
    </xf>
    <xf numFmtId="0" fontId="6" fillId="0" borderId="0" xfId="0" applyFont="1" applyFill="1"/>
    <xf numFmtId="0" fontId="2" fillId="0" borderId="0" xfId="0" applyFont="1" applyProtection="1"/>
    <xf numFmtId="0" fontId="2" fillId="0" borderId="0" xfId="0" applyFont="1" applyAlignment="1" applyProtection="1">
      <alignment horizontal="left"/>
    </xf>
    <xf numFmtId="0" fontId="2" fillId="0" borderId="0" xfId="0" applyFont="1" applyBorder="1" applyProtection="1"/>
    <xf numFmtId="0" fontId="0" fillId="0" borderId="0" xfId="0" applyProtection="1"/>
    <xf numFmtId="0" fontId="2" fillId="0" borderId="0" xfId="0" applyFont="1" applyBorder="1" applyAlignment="1" applyProtection="1">
      <alignment horizontal="left"/>
    </xf>
    <xf numFmtId="0" fontId="3" fillId="0" borderId="0" xfId="0" applyFont="1" applyProtection="1"/>
    <xf numFmtId="0" fontId="2" fillId="0" borderId="0" xfId="0" applyFont="1" applyFill="1" applyProtection="1"/>
    <xf numFmtId="0" fontId="2" fillId="0" borderId="0" xfId="0" applyFont="1" applyFill="1" applyAlignment="1" applyProtection="1">
      <alignment horizontal="left"/>
    </xf>
    <xf numFmtId="0" fontId="0" fillId="0" borderId="0" xfId="0" applyFill="1" applyProtection="1"/>
    <xf numFmtId="0" fontId="15" fillId="0" borderId="0" xfId="0" applyFont="1" applyFill="1" applyProtection="1"/>
    <xf numFmtId="0" fontId="3" fillId="0" borderId="0" xfId="0" applyFont="1" applyFill="1" applyProtection="1"/>
    <xf numFmtId="0" fontId="1" fillId="0" borderId="0" xfId="0" applyFont="1" applyFill="1" applyProtection="1"/>
    <xf numFmtId="0" fontId="2" fillId="0" borderId="0" xfId="0" applyFont="1" applyFill="1" applyAlignment="1" applyProtection="1">
      <alignment horizontal="center"/>
    </xf>
    <xf numFmtId="0" fontId="3" fillId="0" borderId="0" xfId="0" applyFont="1" applyFill="1" applyAlignment="1" applyProtection="1">
      <alignment horizontal="center"/>
    </xf>
    <xf numFmtId="0" fontId="15" fillId="0" borderId="0" xfId="0" applyFont="1" applyProtection="1"/>
    <xf numFmtId="0" fontId="29" fillId="0" borderId="0" xfId="0" applyFont="1" applyProtection="1"/>
    <xf numFmtId="0" fontId="0" fillId="0" borderId="0" xfId="0" applyBorder="1" applyProtection="1"/>
    <xf numFmtId="0" fontId="0" fillId="0" borderId="0" xfId="0" applyAlignment="1" applyProtection="1">
      <alignment horizontal="left" vertical="top" wrapText="1"/>
    </xf>
    <xf numFmtId="0" fontId="28" fillId="0" borderId="0" xfId="1" applyFont="1" applyAlignment="1" applyProtection="1"/>
    <xf numFmtId="0" fontId="0" fillId="3" borderId="0" xfId="0" applyFill="1" applyBorder="1" applyProtection="1"/>
    <xf numFmtId="0" fontId="0" fillId="3" borderId="0" xfId="0" applyFill="1" applyProtection="1"/>
    <xf numFmtId="0" fontId="17" fillId="3" borderId="0" xfId="0" applyFont="1" applyFill="1" applyProtection="1"/>
    <xf numFmtId="0" fontId="14" fillId="3" borderId="0" xfId="1" applyFill="1" applyAlignment="1" applyProtection="1"/>
    <xf numFmtId="0" fontId="14" fillId="3" borderId="8" xfId="1" applyFill="1" applyBorder="1" applyAlignment="1" applyProtection="1"/>
    <xf numFmtId="0" fontId="14" fillId="3" borderId="5" xfId="1" applyFill="1" applyBorder="1" applyAlignment="1" applyProtection="1"/>
    <xf numFmtId="0" fontId="14" fillId="3" borderId="0" xfId="1" applyFill="1" applyAlignment="1" applyProtection="1">
      <alignment horizontal="center"/>
    </xf>
    <xf numFmtId="0" fontId="14" fillId="3" borderId="0" xfId="1" applyFill="1" applyAlignment="1" applyProtection="1">
      <alignment horizontal="left"/>
    </xf>
    <xf numFmtId="0" fontId="2" fillId="0" borderId="0" xfId="0" applyFont="1" applyFill="1" applyAlignment="1" applyProtection="1"/>
    <xf numFmtId="0" fontId="15" fillId="0" borderId="0" xfId="0" applyFont="1" applyFill="1" applyAlignment="1" applyProtection="1"/>
    <xf numFmtId="0" fontId="0" fillId="0" borderId="0" xfId="0" applyFill="1" applyAlignment="1" applyProtection="1"/>
    <xf numFmtId="0" fontId="3" fillId="0" borderId="0" xfId="0" applyFont="1" applyFill="1" applyAlignment="1" applyProtection="1"/>
    <xf numFmtId="0" fontId="1" fillId="0" borderId="0" xfId="0" applyFont="1" applyFill="1" applyAlignment="1" applyProtection="1"/>
    <xf numFmtId="0" fontId="28" fillId="0" borderId="0" xfId="1" applyFont="1" applyFill="1" applyAlignment="1" applyProtection="1">
      <alignment horizontal="center"/>
    </xf>
    <xf numFmtId="0" fontId="2" fillId="0" borderId="0" xfId="0" applyFont="1" applyFill="1" applyBorder="1" applyProtection="1"/>
    <xf numFmtId="0" fontId="2" fillId="0" borderId="0" xfId="0" applyFont="1" applyFill="1" applyBorder="1" applyAlignment="1" applyProtection="1">
      <alignment horizontal="left"/>
    </xf>
    <xf numFmtId="0" fontId="0" fillId="0" borderId="0" xfId="0" applyFill="1" applyBorder="1" applyProtection="1"/>
    <xf numFmtId="0" fontId="29" fillId="0" borderId="0" xfId="0" applyFont="1" applyFill="1" applyBorder="1" applyProtection="1"/>
    <xf numFmtId="0" fontId="29" fillId="0" borderId="0" xfId="0" applyFont="1" applyFill="1" applyBorder="1" applyAlignment="1" applyProtection="1">
      <alignment horizontal="center"/>
    </xf>
    <xf numFmtId="0" fontId="17" fillId="0" borderId="0" xfId="0" applyFont="1" applyProtection="1"/>
    <xf numFmtId="0" fontId="16" fillId="0" borderId="0" xfId="0" applyFont="1" applyProtection="1"/>
    <xf numFmtId="0" fontId="18" fillId="0" borderId="0" xfId="0" applyFont="1" applyProtection="1"/>
    <xf numFmtId="0" fontId="7" fillId="0" borderId="0" xfId="0" applyFont="1" applyProtection="1"/>
    <xf numFmtId="0" fontId="1" fillId="0" borderId="0" xfId="0" applyFont="1" applyProtection="1"/>
    <xf numFmtId="0" fontId="7" fillId="0" borderId="0" xfId="0" applyFont="1" applyAlignment="1" applyProtection="1">
      <alignment horizontal="left"/>
    </xf>
    <xf numFmtId="0" fontId="34" fillId="0" borderId="0" xfId="0" applyFont="1"/>
    <xf numFmtId="0" fontId="34" fillId="0" borderId="0" xfId="0" applyFont="1" applyAlignment="1">
      <alignment horizontal="left"/>
    </xf>
    <xf numFmtId="0" fontId="1" fillId="3" borderId="0" xfId="0" applyFont="1" applyFill="1"/>
    <xf numFmtId="0" fontId="26" fillId="3" borderId="0" xfId="1" applyFont="1" applyFill="1" applyAlignment="1" applyProtection="1"/>
    <xf numFmtId="0" fontId="0" fillId="5" borderId="4" xfId="0" applyFill="1" applyBorder="1"/>
    <xf numFmtId="0" fontId="35" fillId="0" borderId="1" xfId="0" applyFont="1" applyBorder="1" applyAlignment="1">
      <alignment horizontal="center"/>
    </xf>
    <xf numFmtId="0" fontId="23" fillId="0" borderId="0" xfId="0" applyFont="1" applyFill="1" applyAlignment="1">
      <alignment horizontal="left"/>
    </xf>
    <xf numFmtId="0" fontId="35" fillId="0" borderId="0" xfId="0" applyFont="1"/>
    <xf numFmtId="0" fontId="0" fillId="2" borderId="10" xfId="0" applyFill="1" applyBorder="1"/>
    <xf numFmtId="0" fontId="35" fillId="0" borderId="1" xfId="0" applyFont="1" applyFill="1" applyBorder="1" applyAlignment="1">
      <alignment horizontal="center"/>
    </xf>
    <xf numFmtId="0" fontId="35" fillId="0" borderId="0" xfId="0" applyFont="1" applyFill="1"/>
    <xf numFmtId="0" fontId="16" fillId="0" borderId="0" xfId="0" applyFont="1" applyBorder="1"/>
    <xf numFmtId="0" fontId="27" fillId="0" borderId="0" xfId="0" applyFont="1" applyBorder="1"/>
    <xf numFmtId="0" fontId="0" fillId="5" borderId="0" xfId="0" applyFill="1" applyBorder="1"/>
    <xf numFmtId="0" fontId="27" fillId="0" borderId="4" xfId="0" applyFont="1" applyBorder="1"/>
    <xf numFmtId="0" fontId="16" fillId="0" borderId="3" xfId="0" applyFont="1" applyBorder="1"/>
    <xf numFmtId="0" fontId="16" fillId="0" borderId="12" xfId="0" applyFont="1" applyBorder="1"/>
    <xf numFmtId="0" fontId="16" fillId="0" borderId="0" xfId="0" applyFont="1" applyFill="1" applyBorder="1"/>
    <xf numFmtId="0" fontId="27" fillId="0" borderId="12" xfId="0" applyFont="1" applyBorder="1"/>
    <xf numFmtId="0" fontId="16" fillId="0" borderId="12" xfId="0" applyFont="1" applyFill="1" applyBorder="1"/>
    <xf numFmtId="0" fontId="0" fillId="2" borderId="17" xfId="0" applyFill="1" applyBorder="1"/>
    <xf numFmtId="0" fontId="16" fillId="0" borderId="18" xfId="0" applyFont="1" applyBorder="1"/>
    <xf numFmtId="0" fontId="0" fillId="0" borderId="18" xfId="0" applyBorder="1"/>
    <xf numFmtId="49" fontId="4" fillId="3" borderId="11" xfId="0" applyNumberFormat="1" applyFont="1" applyFill="1" applyBorder="1" applyAlignment="1" applyProtection="1">
      <alignment horizontal="center"/>
      <protection locked="0"/>
    </xf>
    <xf numFmtId="0" fontId="16" fillId="0" borderId="0" xfId="0" applyFont="1" applyAlignment="1">
      <alignment horizontal="left"/>
    </xf>
    <xf numFmtId="0" fontId="2" fillId="3" borderId="1" xfId="0" applyFont="1" applyFill="1" applyBorder="1" applyAlignment="1">
      <alignment horizontal="center"/>
    </xf>
    <xf numFmtId="0" fontId="2" fillId="3" borderId="0" xfId="0" applyFont="1" applyFill="1" applyBorder="1" applyAlignment="1" applyProtection="1">
      <alignment horizontal="left"/>
    </xf>
    <xf numFmtId="0" fontId="2" fillId="3" borderId="0" xfId="0" applyFont="1" applyFill="1" applyAlignment="1" applyProtection="1">
      <alignment horizontal="left"/>
    </xf>
    <xf numFmtId="0" fontId="23" fillId="0" borderId="0" xfId="0" applyFont="1"/>
    <xf numFmtId="0" fontId="16" fillId="0" borderId="1" xfId="0" applyFont="1" applyBorder="1" applyAlignment="1">
      <alignment horizontal="center"/>
    </xf>
    <xf numFmtId="0" fontId="16" fillId="0" borderId="0" xfId="0" applyFont="1" applyBorder="1" applyAlignment="1">
      <alignment horizontal="center"/>
    </xf>
    <xf numFmtId="49" fontId="16" fillId="0" borderId="0" xfId="0" applyNumberFormat="1" applyFont="1" applyAlignment="1">
      <alignment horizontal="center"/>
    </xf>
    <xf numFmtId="0" fontId="0" fillId="0" borderId="0" xfId="0" applyBorder="1" applyAlignment="1">
      <alignment horizontal="right"/>
    </xf>
    <xf numFmtId="0" fontId="23" fillId="0" borderId="0" xfId="0" applyFont="1" applyFill="1"/>
    <xf numFmtId="0" fontId="0" fillId="0" borderId="8" xfId="0" applyBorder="1" applyAlignment="1">
      <alignment horizontal="center"/>
    </xf>
    <xf numFmtId="0" fontId="0" fillId="2" borderId="8" xfId="0" applyFill="1" applyBorder="1" applyAlignment="1">
      <alignment horizontal="center"/>
    </xf>
    <xf numFmtId="0" fontId="11" fillId="0" borderId="8" xfId="0" applyFont="1" applyBorder="1" applyAlignment="1">
      <alignment horizontal="center"/>
    </xf>
    <xf numFmtId="0" fontId="1" fillId="0" borderId="8" xfId="0" applyFont="1" applyBorder="1"/>
    <xf numFmtId="0" fontId="2" fillId="3" borderId="0" xfId="0" applyFont="1" applyFill="1" applyBorder="1" applyAlignment="1">
      <alignment horizontal="center"/>
    </xf>
    <xf numFmtId="0" fontId="23" fillId="3" borderId="1" xfId="0" applyFont="1" applyFill="1" applyBorder="1" applyAlignment="1" applyProtection="1">
      <alignment horizontal="center"/>
      <protection locked="0"/>
    </xf>
    <xf numFmtId="0" fontId="5" fillId="3" borderId="0" xfId="0" applyFont="1" applyFill="1" applyBorder="1" applyAlignment="1" applyProtection="1">
      <alignment horizontal="center"/>
    </xf>
    <xf numFmtId="0" fontId="2" fillId="3" borderId="0" xfId="0" applyFont="1" applyFill="1" applyBorder="1" applyProtection="1"/>
    <xf numFmtId="0" fontId="0" fillId="3" borderId="0" xfId="0" applyFill="1" applyBorder="1" applyAlignment="1" applyProtection="1"/>
    <xf numFmtId="0" fontId="2" fillId="3" borderId="0" xfId="0" applyFont="1" applyFill="1" applyBorder="1" applyAlignment="1" applyProtection="1">
      <alignment horizontal="center"/>
    </xf>
    <xf numFmtId="0" fontId="14" fillId="0" borderId="0" xfId="1" applyFill="1" applyAlignment="1" applyProtection="1"/>
    <xf numFmtId="0" fontId="23" fillId="3" borderId="6" xfId="0" applyFont="1" applyFill="1" applyBorder="1"/>
    <xf numFmtId="0" fontId="23" fillId="3" borderId="8" xfId="0" applyFont="1" applyFill="1" applyBorder="1" applyProtection="1"/>
    <xf numFmtId="0" fontId="23" fillId="0" borderId="0" xfId="0" applyFont="1" applyProtection="1"/>
    <xf numFmtId="0" fontId="38" fillId="3" borderId="1" xfId="0" applyFont="1" applyFill="1" applyBorder="1" applyAlignment="1" applyProtection="1">
      <alignment horizontal="center"/>
      <protection locked="0"/>
    </xf>
    <xf numFmtId="0" fontId="3" fillId="3" borderId="0" xfId="0" applyFont="1" applyFill="1" applyAlignment="1">
      <alignment vertical="center"/>
    </xf>
    <xf numFmtId="0" fontId="2" fillId="3" borderId="0" xfId="0" applyFont="1" applyFill="1" applyAlignment="1">
      <alignment vertical="center"/>
    </xf>
    <xf numFmtId="0" fontId="11" fillId="0" borderId="0" xfId="0" applyFont="1" applyFill="1" applyAlignment="1">
      <alignment horizontal="center"/>
    </xf>
    <xf numFmtId="0" fontId="13" fillId="3" borderId="0" xfId="0" applyFont="1" applyFill="1" applyProtection="1"/>
    <xf numFmtId="0" fontId="35" fillId="3" borderId="0" xfId="0" applyFont="1" applyFill="1" applyProtection="1"/>
    <xf numFmtId="0" fontId="23" fillId="3" borderId="0" xfId="0" applyFont="1" applyFill="1" applyProtection="1"/>
    <xf numFmtId="0" fontId="0" fillId="0" borderId="0" xfId="0" applyFill="1" applyAlignment="1">
      <alignment horizontal="right"/>
    </xf>
    <xf numFmtId="0" fontId="39" fillId="3" borderId="0" xfId="0" applyFont="1" applyFill="1" applyAlignment="1">
      <alignment horizontal="center"/>
    </xf>
    <xf numFmtId="0" fontId="5" fillId="3" borderId="2" xfId="0" applyFont="1" applyFill="1" applyBorder="1" applyAlignment="1" applyProtection="1">
      <alignment horizontal="center"/>
    </xf>
    <xf numFmtId="0" fontId="2" fillId="3" borderId="2" xfId="0" applyFont="1" applyFill="1" applyBorder="1" applyAlignment="1" applyProtection="1">
      <alignment horizontal="center"/>
    </xf>
    <xf numFmtId="0" fontId="23" fillId="3" borderId="0" xfId="0" applyFont="1" applyFill="1" applyAlignment="1">
      <alignment horizontal="center"/>
    </xf>
    <xf numFmtId="0" fontId="39" fillId="0" borderId="0" xfId="0" applyFont="1" applyFill="1" applyAlignment="1">
      <alignment horizontal="center"/>
    </xf>
    <xf numFmtId="0" fontId="37" fillId="0" borderId="0" xfId="1" applyFont="1" applyFill="1" applyAlignment="1" applyProtection="1">
      <alignment horizontal="left"/>
    </xf>
    <xf numFmtId="0" fontId="5" fillId="3" borderId="0" xfId="0" applyFont="1" applyFill="1" applyBorder="1" applyAlignment="1" applyProtection="1">
      <alignment horizontal="center"/>
      <protection locked="0"/>
    </xf>
    <xf numFmtId="0" fontId="6" fillId="0" borderId="0" xfId="0" applyFont="1" applyBorder="1" applyAlignment="1">
      <alignment horizontal="left"/>
    </xf>
    <xf numFmtId="0" fontId="6" fillId="0" borderId="0" xfId="0" applyFont="1" applyFill="1" applyAlignment="1">
      <alignment horizontal="left"/>
    </xf>
    <xf numFmtId="0" fontId="6" fillId="3" borderId="0" xfId="0" applyFont="1" applyFill="1" applyAlignment="1" applyProtection="1">
      <alignment horizontal="center"/>
    </xf>
    <xf numFmtId="0" fontId="2" fillId="3" borderId="1" xfId="0" applyFont="1" applyFill="1" applyBorder="1" applyAlignment="1" applyProtection="1">
      <alignment horizontal="center"/>
    </xf>
    <xf numFmtId="0" fontId="3" fillId="3" borderId="1" xfId="0" applyFont="1" applyFill="1" applyBorder="1" applyAlignment="1" applyProtection="1">
      <alignment horizontal="center"/>
    </xf>
    <xf numFmtId="0" fontId="3" fillId="3" borderId="0" xfId="0" applyFont="1" applyFill="1" applyBorder="1" applyProtection="1"/>
    <xf numFmtId="0" fontId="1" fillId="3" borderId="0" xfId="0" applyFont="1" applyFill="1" applyProtection="1"/>
    <xf numFmtId="0" fontId="6" fillId="3" borderId="0" xfId="0" applyFont="1" applyFill="1" applyAlignment="1" applyProtection="1">
      <alignment horizontal="left"/>
    </xf>
    <xf numFmtId="0" fontId="4" fillId="3" borderId="0" xfId="0" applyFont="1" applyFill="1" applyBorder="1" applyAlignment="1" applyProtection="1">
      <alignment horizontal="center"/>
    </xf>
    <xf numFmtId="0" fontId="2" fillId="3" borderId="0" xfId="0" applyFont="1" applyFill="1" applyBorder="1" applyAlignment="1" applyProtection="1">
      <alignment horizontal="center" vertical="top" wrapText="1"/>
    </xf>
    <xf numFmtId="0" fontId="40" fillId="3" borderId="1" xfId="0" applyFont="1" applyFill="1" applyBorder="1" applyAlignment="1" applyProtection="1">
      <alignment horizontal="center"/>
    </xf>
    <xf numFmtId="0" fontId="3" fillId="3" borderId="0" xfId="0" applyFont="1" applyFill="1" applyAlignment="1" applyProtection="1">
      <alignment horizontal="left"/>
    </xf>
    <xf numFmtId="0" fontId="3" fillId="3" borderId="0" xfId="0" applyFont="1" applyFill="1" applyBorder="1" applyAlignment="1" applyProtection="1">
      <alignment horizontal="left"/>
    </xf>
    <xf numFmtId="0" fontId="4" fillId="0" borderId="16" xfId="0" applyFont="1" applyFill="1" applyBorder="1" applyAlignment="1" applyProtection="1">
      <alignment horizontal="center"/>
    </xf>
    <xf numFmtId="0" fontId="0" fillId="3" borderId="0" xfId="0" applyFill="1" applyAlignment="1">
      <alignment horizontal="center"/>
    </xf>
    <xf numFmtId="0" fontId="39" fillId="0" borderId="0" xfId="0" applyFont="1" applyAlignment="1" applyProtection="1">
      <alignment horizontal="center"/>
    </xf>
    <xf numFmtId="0" fontId="23" fillId="3" borderId="0" xfId="0" applyFont="1" applyFill="1" applyAlignment="1">
      <alignment horizontal="left"/>
    </xf>
    <xf numFmtId="0" fontId="23" fillId="0" borderId="0" xfId="0" applyFont="1" applyFill="1" applyAlignment="1">
      <alignment horizontal="center"/>
    </xf>
    <xf numFmtId="0" fontId="16" fillId="0" borderId="5" xfId="0" applyFont="1" applyBorder="1"/>
    <xf numFmtId="0" fontId="2" fillId="0" borderId="5" xfId="0" applyFont="1" applyFill="1" applyBorder="1" applyAlignment="1">
      <alignment horizontal="center"/>
    </xf>
    <xf numFmtId="0" fontId="23" fillId="0" borderId="5" xfId="0" applyFont="1" applyFill="1" applyBorder="1" applyAlignment="1">
      <alignment horizontal="center"/>
    </xf>
    <xf numFmtId="0" fontId="39" fillId="0" borderId="5" xfId="0" applyFont="1" applyFill="1" applyBorder="1" applyAlignment="1">
      <alignment horizontal="center"/>
    </xf>
    <xf numFmtId="0" fontId="35" fillId="0" borderId="5" xfId="0" applyFont="1" applyFill="1" applyBorder="1"/>
    <xf numFmtId="0" fontId="35" fillId="0" borderId="5" xfId="0" applyFont="1" applyBorder="1"/>
    <xf numFmtId="0" fontId="39" fillId="3" borderId="8" xfId="0" applyFont="1" applyFill="1" applyBorder="1" applyAlignment="1">
      <alignment horizontal="center"/>
    </xf>
    <xf numFmtId="0" fontId="39" fillId="3" borderId="9" xfId="0" applyFont="1" applyFill="1" applyBorder="1" applyAlignment="1">
      <alignment horizontal="center"/>
    </xf>
    <xf numFmtId="0" fontId="39" fillId="3" borderId="0" xfId="0" applyFont="1" applyFill="1" applyAlignment="1" applyProtection="1">
      <alignment horizontal="center"/>
    </xf>
    <xf numFmtId="0" fontId="38" fillId="3" borderId="0" xfId="0" applyFont="1" applyFill="1" applyBorder="1" applyAlignment="1" applyProtection="1">
      <alignment horizontal="center"/>
    </xf>
    <xf numFmtId="0" fontId="0" fillId="2" borderId="1" xfId="0" applyFill="1" applyBorder="1" applyAlignment="1">
      <alignment horizontal="center"/>
    </xf>
    <xf numFmtId="0" fontId="3" fillId="3" borderId="13" xfId="0" applyFont="1" applyFill="1" applyBorder="1" applyAlignment="1">
      <alignment horizontal="center" vertical="center" textRotation="90"/>
    </xf>
    <xf numFmtId="0" fontId="3" fillId="3" borderId="3" xfId="0" applyFont="1" applyFill="1" applyBorder="1" applyAlignment="1">
      <alignment horizontal="center" vertical="center" textRotation="90"/>
    </xf>
    <xf numFmtId="0" fontId="3" fillId="3" borderId="14" xfId="0" applyFont="1" applyFill="1" applyBorder="1" applyAlignment="1">
      <alignment horizontal="center" vertical="center" textRotation="90"/>
    </xf>
    <xf numFmtId="0" fontId="16" fillId="0" borderId="0" xfId="0" applyFont="1" applyAlignment="1">
      <alignment horizontal="left"/>
    </xf>
    <xf numFmtId="0" fontId="18" fillId="0" borderId="0" xfId="0" applyFont="1" applyAlignment="1">
      <alignment shrinkToFit="1"/>
    </xf>
    <xf numFmtId="0" fontId="0" fillId="0" borderId="0" xfId="0" applyAlignment="1">
      <alignment shrinkToFit="1"/>
    </xf>
    <xf numFmtId="0" fontId="2" fillId="3" borderId="1" xfId="0" applyFont="1" applyFill="1" applyBorder="1" applyAlignment="1" applyProtection="1">
      <alignment horizontal="center" vertical="center"/>
    </xf>
    <xf numFmtId="0" fontId="16" fillId="0" borderId="0" xfId="0" applyFont="1" applyAlignment="1">
      <alignment horizontal="left" shrinkToFit="1"/>
    </xf>
    <xf numFmtId="0" fontId="3" fillId="3" borderId="1" xfId="0" applyFont="1" applyFill="1" applyBorder="1" applyAlignment="1">
      <alignment horizontal="center" vertical="center" textRotation="90"/>
    </xf>
    <xf numFmtId="0" fontId="0" fillId="3" borderId="4" xfId="0" applyFont="1" applyFill="1" applyBorder="1" applyAlignment="1" applyProtection="1">
      <alignment horizontal="center"/>
      <protection locked="0"/>
    </xf>
    <xf numFmtId="0" fontId="0" fillId="3" borderId="4" xfId="0" applyFill="1" applyBorder="1" applyAlignment="1" applyProtection="1">
      <alignment horizontal="center"/>
      <protection locked="0"/>
    </xf>
    <xf numFmtId="0" fontId="6" fillId="0" borderId="0" xfId="0" applyFont="1" applyFill="1" applyAlignment="1">
      <alignment horizontal="center"/>
    </xf>
    <xf numFmtId="0" fontId="1" fillId="3" borderId="13" xfId="0" applyFont="1" applyFill="1" applyBorder="1" applyAlignment="1">
      <alignment horizontal="center" vertical="center" textRotation="90"/>
    </xf>
    <xf numFmtId="0" fontId="1" fillId="3" borderId="3" xfId="0" applyFont="1" applyFill="1" applyBorder="1" applyAlignment="1">
      <alignment horizontal="center" vertical="center" textRotation="90"/>
    </xf>
    <xf numFmtId="0" fontId="1" fillId="3" borderId="14" xfId="0" applyFont="1" applyFill="1" applyBorder="1" applyAlignment="1">
      <alignment horizontal="center" vertical="center" textRotation="90"/>
    </xf>
    <xf numFmtId="0" fontId="0" fillId="0" borderId="0" xfId="0" applyAlignment="1" applyProtection="1">
      <alignment horizontal="left" vertical="top" wrapText="1"/>
    </xf>
    <xf numFmtId="0" fontId="16" fillId="0" borderId="0" xfId="0" applyFont="1" applyAlignment="1">
      <alignment shrinkToFit="1"/>
    </xf>
    <xf numFmtId="0" fontId="16" fillId="0" borderId="0" xfId="0" applyFont="1" applyBorder="1" applyAlignment="1">
      <alignment horizontal="left" vertical="center" wrapText="1"/>
    </xf>
    <xf numFmtId="0" fontId="16" fillId="0" borderId="0" xfId="0" applyFont="1" applyBorder="1" applyAlignment="1">
      <alignment vertical="center" wrapText="1"/>
    </xf>
    <xf numFmtId="0" fontId="0" fillId="0" borderId="0" xfId="0" applyBorder="1" applyAlignment="1">
      <alignment wrapText="1"/>
    </xf>
    <xf numFmtId="0" fontId="39" fillId="3" borderId="8" xfId="0" applyFont="1" applyFill="1" applyBorder="1"/>
  </cellXfs>
  <cellStyles count="2">
    <cellStyle name="Hyperlink" xfId="1" builtinId="8"/>
    <cellStyle name="Normal" xfId="0" builtinId="0"/>
  </cellStyles>
  <dxfs count="408">
    <dxf>
      <font>
        <color theme="0" tint="-0.24994659260841701"/>
      </font>
    </dxf>
    <dxf>
      <font>
        <color theme="0" tint="-0.24994659260841701"/>
      </font>
    </dxf>
    <dxf>
      <font>
        <color theme="0" tint="-0.24994659260841701"/>
      </font>
    </dxf>
    <dxf>
      <font>
        <color theme="0" tint="-0.24994659260841701"/>
      </font>
    </dxf>
    <dxf>
      <fill>
        <patternFill>
          <bgColor rgb="FFFFFF00"/>
        </patternFill>
      </fill>
    </dxf>
    <dxf>
      <fill>
        <patternFill>
          <bgColor theme="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F0"/>
      </font>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b/>
        <i val="0"/>
      </font>
    </dxf>
    <dxf>
      <font>
        <b/>
        <i val="0"/>
      </font>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font>
      <fill>
        <patternFill>
          <bgColor theme="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font>
      <fill>
        <patternFill>
          <bgColor theme="0"/>
        </patternFill>
      </fill>
    </dxf>
    <dxf>
      <fill>
        <patternFill>
          <bgColor rgb="FFFFFF00"/>
        </patternFill>
      </fill>
    </dxf>
    <dxf>
      <fill>
        <patternFill patternType="none">
          <bgColor auto="1"/>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FF00"/>
        </patternFill>
      </fill>
    </dxf>
    <dxf>
      <fill>
        <patternFill patternType="solid">
          <bgColor rgb="FFFFFF00"/>
        </patternFill>
      </fill>
    </dxf>
    <dxf>
      <font>
        <color rgb="FF00B050"/>
      </font>
    </dxf>
    <dxf>
      <fill>
        <patternFill>
          <bgColor rgb="FFFFFF00"/>
        </patternFill>
      </fill>
    </dxf>
    <dxf>
      <fill>
        <patternFill patternType="none">
          <bgColor auto="1"/>
        </patternFill>
      </fill>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24994659260841701"/>
      </font>
    </dxf>
    <dxf>
      <fill>
        <patternFill>
          <bgColor rgb="FFFF0000"/>
        </patternFill>
      </fill>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ont>
        <color theme="0" tint="-0.1499679555650502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FF00"/>
        </patternFill>
      </fill>
    </dxf>
    <dxf>
      <fill>
        <patternFill>
          <bgColor rgb="FFFFFF00"/>
        </patternFill>
      </fill>
    </dxf>
    <dxf>
      <font>
        <color rgb="FF00B050"/>
      </font>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rgb="FFFF0000"/>
        </patternFill>
      </fill>
    </dxf>
    <dxf>
      <fill>
        <patternFill>
          <bgColor rgb="FFFF0000"/>
        </patternFill>
      </fill>
    </dxf>
    <dxf>
      <font>
        <color theme="0" tint="-0.1499679555650502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ont>
        <color theme="0" tint="-0.14996795556505021"/>
      </font>
    </dxf>
    <dxf>
      <fill>
        <patternFill>
          <bgColor rgb="FFFF0000"/>
        </patternFill>
      </fill>
    </dxf>
    <dxf>
      <font>
        <color theme="0" tint="-0.14996795556505021"/>
      </font>
    </dxf>
    <dxf>
      <fill>
        <patternFill>
          <bgColor rgb="FFFF0000"/>
        </patternFill>
      </fill>
    </dxf>
    <dxf>
      <font>
        <color theme="0" tint="-0.14996795556505021"/>
      </font>
    </dxf>
    <dxf>
      <fill>
        <patternFill>
          <bgColor rgb="FFFF0000"/>
        </patternFill>
      </fill>
    </dxf>
    <dxf>
      <font>
        <color theme="0" tint="-0.14996795556505021"/>
      </font>
    </dxf>
    <dxf>
      <font>
        <color theme="0" tint="-0.24994659260841701"/>
      </font>
    </dxf>
    <dxf>
      <fill>
        <patternFill>
          <bgColor rgb="FFFF0000"/>
        </patternFill>
      </fill>
    </dxf>
    <dxf>
      <fill>
        <patternFill>
          <bgColor rgb="FFFF0000"/>
        </patternFill>
      </fill>
    </dxf>
    <dxf>
      <font>
        <color theme="0" tint="-0.1499679555650502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ont>
        <color theme="0" tint="-0.14996795556505021"/>
      </font>
    </dxf>
    <dxf>
      <fill>
        <patternFill>
          <bgColor rgb="FFFF0000"/>
        </patternFill>
      </fill>
    </dxf>
    <dxf>
      <font>
        <color theme="0" tint="-0.14996795556505021"/>
      </font>
    </dxf>
    <dxf>
      <fill>
        <patternFill>
          <bgColor rgb="FFFF0000"/>
        </patternFill>
      </fill>
    </dxf>
    <dxf>
      <font>
        <color theme="0" tint="-0.14996795556505021"/>
      </font>
    </dxf>
    <dxf>
      <font>
        <b/>
        <i val="0"/>
        <color theme="0"/>
      </font>
      <fill>
        <patternFill patternType="none">
          <bgColor auto="1"/>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font>
      <fill>
        <patternFill>
          <bgColor theme="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F0"/>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ont>
        <color theme="0" tint="-0.24994659260841701"/>
      </font>
    </dxf>
    <dxf>
      <fill>
        <patternFill>
          <bgColor rgb="FFFFFF00"/>
        </patternFill>
      </fill>
    </dxf>
    <dxf>
      <fill>
        <patternFill patternType="none">
          <bgColor auto="1"/>
        </patternFill>
      </fill>
    </dxf>
    <dxf>
      <fill>
        <patternFill>
          <bgColor rgb="FFFF0000"/>
        </patternFill>
      </fill>
    </dxf>
    <dxf>
      <font>
        <b/>
        <i val="0"/>
      </font>
    </dxf>
    <dxf>
      <font>
        <b/>
        <i val="0"/>
      </font>
    </dxf>
    <dxf>
      <font>
        <color theme="0" tint="-0.24994659260841701"/>
      </font>
    </dxf>
    <dxf>
      <font>
        <color theme="0" tint="-0.24994659260841701"/>
      </font>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0000"/>
        </patternFill>
      </fill>
    </dxf>
    <dxf>
      <font>
        <color theme="0" tint="-0.14996795556505021"/>
      </font>
    </dxf>
    <dxf>
      <font>
        <color rgb="FF00B050"/>
      </font>
    </dxf>
    <dxf>
      <font>
        <color rgb="FF00B050"/>
      </font>
    </dxf>
    <dxf>
      <font>
        <color theme="0" tint="-0.24994659260841701"/>
      </font>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50"/>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50"/>
      </font>
    </dxf>
    <dxf>
      <fill>
        <patternFill>
          <bgColor rgb="FFFF0000"/>
        </patternFill>
      </fill>
    </dxf>
    <dxf>
      <font>
        <color theme="0" tint="-0.24994659260841701"/>
      </font>
    </dxf>
    <dxf>
      <font>
        <color theme="0" tint="-0.24994659260841701"/>
      </font>
    </dxf>
    <dxf>
      <fill>
        <patternFill>
          <bgColor rgb="FFFF0000"/>
        </patternFill>
      </fill>
    </dxf>
    <dxf>
      <fill>
        <patternFill patternType="solid">
          <bgColor rgb="FFFFFF00"/>
        </patternFill>
      </fill>
    </dxf>
    <dxf>
      <fill>
        <patternFill>
          <bgColor rgb="FFFFFF00"/>
        </patternFill>
      </fill>
    </dxf>
    <dxf>
      <fill>
        <patternFill patternType="solid">
          <bgColor rgb="FFFFFF00"/>
        </patternFill>
      </fill>
    </dxf>
    <dxf>
      <font>
        <color rgb="FF00B050"/>
      </font>
    </dxf>
    <dxf>
      <fill>
        <patternFill>
          <bgColor rgb="FFFFFF00"/>
        </patternFill>
      </fill>
    </dxf>
    <dxf>
      <fill>
        <patternFill patternType="none">
          <bgColor auto="1"/>
        </patternFill>
      </fill>
    </dxf>
    <dxf>
      <font>
        <color theme="0" tint="-0.24994659260841701"/>
      </font>
    </dxf>
    <dxf>
      <fill>
        <patternFill>
          <bgColor rgb="FFFF0000"/>
        </patternFill>
      </fill>
    </dxf>
    <dxf>
      <font>
        <color theme="0" tint="-0.24994659260841701"/>
      </font>
    </dxf>
    <dxf>
      <font>
        <color theme="0" tint="-0.24994659260841701"/>
      </font>
    </dxf>
    <dxf>
      <fill>
        <patternFill>
          <bgColor rgb="FFFF0000"/>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1499679555650502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jpg"/><Relationship Id="rId26" Type="http://schemas.openxmlformats.org/officeDocument/2006/relationships/image" Target="../media/image28.png"/><Relationship Id="rId39" Type="http://schemas.openxmlformats.org/officeDocument/2006/relationships/image" Target="../media/image41.png"/><Relationship Id="rId3" Type="http://schemas.openxmlformats.org/officeDocument/2006/relationships/image" Target="../media/image5.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2" Type="http://schemas.openxmlformats.org/officeDocument/2006/relationships/image" Target="../media/image4.png"/><Relationship Id="rId16" Type="http://schemas.openxmlformats.org/officeDocument/2006/relationships/image" Target="../media/image18.jp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jpeg"/><Relationship Id="rId32" Type="http://schemas.openxmlformats.org/officeDocument/2006/relationships/image" Target="../media/image34.png"/><Relationship Id="rId37" Type="http://schemas.openxmlformats.org/officeDocument/2006/relationships/image" Target="../media/image39.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jp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12</xdr:col>
      <xdr:colOff>495301</xdr:colOff>
      <xdr:row>60</xdr:row>
      <xdr:rowOff>171451</xdr:rowOff>
    </xdr:from>
    <xdr:to>
      <xdr:col>14</xdr:col>
      <xdr:colOff>436889</xdr:colOff>
      <xdr:row>67</xdr:row>
      <xdr:rowOff>68580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53476" y="12592051"/>
          <a:ext cx="1158883" cy="1247774"/>
        </a:xfrm>
        <a:prstGeom prst="rect">
          <a:avLst/>
        </a:prstGeom>
      </xdr:spPr>
    </xdr:pic>
    <xdr:clientData/>
  </xdr:twoCellAnchor>
  <xdr:twoCellAnchor editAs="oneCell">
    <xdr:from>
      <xdr:col>2</xdr:col>
      <xdr:colOff>0</xdr:colOff>
      <xdr:row>74</xdr:row>
      <xdr:rowOff>0</xdr:rowOff>
    </xdr:from>
    <xdr:to>
      <xdr:col>2</xdr:col>
      <xdr:colOff>1028571</xdr:colOff>
      <xdr:row>75</xdr:row>
      <xdr:rowOff>133310</xdr:rowOff>
    </xdr:to>
    <xdr:pic macro="[0]!ClearPage">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 y="12801600"/>
          <a:ext cx="1028571" cy="323810"/>
        </a:xfrm>
        <a:prstGeom prst="rect">
          <a:avLst/>
        </a:prstGeom>
      </xdr:spPr>
    </xdr:pic>
    <xdr:clientData/>
  </xdr:twoCellAnchor>
  <xdr:twoCellAnchor>
    <xdr:from>
      <xdr:col>11</xdr:col>
      <xdr:colOff>596900</xdr:colOff>
      <xdr:row>64</xdr:row>
      <xdr:rowOff>50800</xdr:rowOff>
    </xdr:from>
    <xdr:to>
      <xdr:col>14</xdr:col>
      <xdr:colOff>107950</xdr:colOff>
      <xdr:row>66</xdr:row>
      <xdr:rowOff>95250</xdr:rowOff>
    </xdr:to>
    <xdr:cxnSp macro="">
      <xdr:nvCxnSpPr>
        <xdr:cNvPr id="42" name="Straight Arrow Connector 41"/>
        <xdr:cNvCxnSpPr/>
      </xdr:nvCxnSpPr>
      <xdr:spPr>
        <a:xfrm flipV="1">
          <a:off x="8267700" y="13277850"/>
          <a:ext cx="1333500" cy="42545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527050</xdr:colOff>
      <xdr:row>64</xdr:row>
      <xdr:rowOff>38100</xdr:rowOff>
    </xdr:from>
    <xdr:to>
      <xdr:col>13</xdr:col>
      <xdr:colOff>190500</xdr:colOff>
      <xdr:row>65</xdr:row>
      <xdr:rowOff>107951</xdr:rowOff>
    </xdr:to>
    <xdr:cxnSp macro="">
      <xdr:nvCxnSpPr>
        <xdr:cNvPr id="44" name="Straight Arrow Connector 43"/>
        <xdr:cNvCxnSpPr/>
      </xdr:nvCxnSpPr>
      <xdr:spPr>
        <a:xfrm flipV="1">
          <a:off x="8197850" y="13265150"/>
          <a:ext cx="876300" cy="260351"/>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62</xdr:row>
      <xdr:rowOff>133350</xdr:rowOff>
    </xdr:from>
    <xdr:to>
      <xdr:col>14</xdr:col>
      <xdr:colOff>85725</xdr:colOff>
      <xdr:row>64</xdr:row>
      <xdr:rowOff>114301</xdr:rowOff>
    </xdr:to>
    <xdr:cxnSp macro="">
      <xdr:nvCxnSpPr>
        <xdr:cNvPr id="47" name="Straight Arrow Connector 46"/>
        <xdr:cNvCxnSpPr/>
      </xdr:nvCxnSpPr>
      <xdr:spPr>
        <a:xfrm flipV="1">
          <a:off x="8296275" y="12934950"/>
          <a:ext cx="1257300" cy="361951"/>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62</xdr:row>
      <xdr:rowOff>104775</xdr:rowOff>
    </xdr:from>
    <xdr:to>
      <xdr:col>13</xdr:col>
      <xdr:colOff>161925</xdr:colOff>
      <xdr:row>63</xdr:row>
      <xdr:rowOff>104775</xdr:rowOff>
    </xdr:to>
    <xdr:cxnSp macro="">
      <xdr:nvCxnSpPr>
        <xdr:cNvPr id="49" name="Straight Arrow Connector 48"/>
        <xdr:cNvCxnSpPr/>
      </xdr:nvCxnSpPr>
      <xdr:spPr>
        <a:xfrm flipV="1">
          <a:off x="8220075" y="12906375"/>
          <a:ext cx="800100" cy="1905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736</xdr:row>
      <xdr:rowOff>0</xdr:rowOff>
    </xdr:from>
    <xdr:to>
      <xdr:col>17</xdr:col>
      <xdr:colOff>104775</xdr:colOff>
      <xdr:row>746</xdr:row>
      <xdr:rowOff>19050</xdr:rowOff>
    </xdr:to>
    <xdr:sp macro="" textlink="">
      <xdr:nvSpPr>
        <xdr:cNvPr id="1025" name="AutoShape 1" descr="http://media.ludwig-drums.com/Ludwig/2013_Ludwig_Catalog_AV8147/_12_Snare_Drums/LOW/Maple/LS462.jpg"/>
        <xdr:cNvSpPr>
          <a:spLocks noChangeAspect="1" noChangeArrowheads="1"/>
        </xdr:cNvSpPr>
      </xdr:nvSpPr>
      <xdr:spPr bwMode="auto">
        <a:xfrm>
          <a:off x="7648575" y="141693900"/>
          <a:ext cx="1924050" cy="1924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34</xdr:row>
      <xdr:rowOff>9525</xdr:rowOff>
    </xdr:from>
    <xdr:to>
      <xdr:col>3</xdr:col>
      <xdr:colOff>66546</xdr:colOff>
      <xdr:row>35</xdr:row>
      <xdr:rowOff>142835</xdr:rowOff>
    </xdr:to>
    <xdr:pic macro="[0]!ClearPageSD">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6534150"/>
          <a:ext cx="1028571" cy="323810"/>
        </a:xfrm>
        <a:prstGeom prst="rect">
          <a:avLst/>
        </a:prstGeom>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xdr:colOff>
      <xdr:row>59</xdr:row>
      <xdr:rowOff>28576</xdr:rowOff>
    </xdr:from>
    <xdr:to>
      <xdr:col>15</xdr:col>
      <xdr:colOff>549284</xdr:colOff>
      <xdr:row>65</xdr:row>
      <xdr:rowOff>133350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8251" y="12439651"/>
          <a:ext cx="1158883" cy="1247774"/>
        </a:xfrm>
        <a:prstGeom prst="rect">
          <a:avLst/>
        </a:prstGeom>
      </xdr:spPr>
    </xdr:pic>
    <xdr:clientData/>
  </xdr:twoCellAnchor>
  <xdr:twoCellAnchor editAs="oneCell">
    <xdr:from>
      <xdr:col>2</xdr:col>
      <xdr:colOff>0</xdr:colOff>
      <xdr:row>70</xdr:row>
      <xdr:rowOff>38100</xdr:rowOff>
    </xdr:from>
    <xdr:to>
      <xdr:col>2</xdr:col>
      <xdr:colOff>1028571</xdr:colOff>
      <xdr:row>71</xdr:row>
      <xdr:rowOff>161885</xdr:rowOff>
    </xdr:to>
    <xdr:pic macro="[0]!ClearPageLegacy">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 y="12839700"/>
          <a:ext cx="1028571" cy="323810"/>
        </a:xfrm>
        <a:prstGeom prst="rect">
          <a:avLst/>
        </a:prstGeom>
      </xdr:spPr>
    </xdr:pic>
    <xdr:clientData/>
  </xdr:twoCellAnchor>
  <xdr:twoCellAnchor>
    <xdr:from>
      <xdr:col>12</xdr:col>
      <xdr:colOff>596900</xdr:colOff>
      <xdr:row>60</xdr:row>
      <xdr:rowOff>114300</xdr:rowOff>
    </xdr:from>
    <xdr:to>
      <xdr:col>14</xdr:col>
      <xdr:colOff>279400</xdr:colOff>
      <xdr:row>62</xdr:row>
      <xdr:rowOff>101600</xdr:rowOff>
    </xdr:to>
    <xdr:cxnSp macro="">
      <xdr:nvCxnSpPr>
        <xdr:cNvPr id="42" name="Straight Arrow Connector 41"/>
        <xdr:cNvCxnSpPr/>
      </xdr:nvCxnSpPr>
      <xdr:spPr>
        <a:xfrm flipV="1">
          <a:off x="8267700" y="12757150"/>
          <a:ext cx="895350" cy="3810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31750</xdr:colOff>
      <xdr:row>60</xdr:row>
      <xdr:rowOff>133350</xdr:rowOff>
    </xdr:from>
    <xdr:to>
      <xdr:col>15</xdr:col>
      <xdr:colOff>215900</xdr:colOff>
      <xdr:row>63</xdr:row>
      <xdr:rowOff>101601</xdr:rowOff>
    </xdr:to>
    <xdr:cxnSp macro="">
      <xdr:nvCxnSpPr>
        <xdr:cNvPr id="44" name="Straight Arrow Connector 43"/>
        <xdr:cNvCxnSpPr/>
      </xdr:nvCxnSpPr>
      <xdr:spPr>
        <a:xfrm flipV="1">
          <a:off x="8312150" y="12776200"/>
          <a:ext cx="1397000" cy="552451"/>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533400</xdr:colOff>
      <xdr:row>62</xdr:row>
      <xdr:rowOff>76200</xdr:rowOff>
    </xdr:from>
    <xdr:to>
      <xdr:col>14</xdr:col>
      <xdr:colOff>273050</xdr:colOff>
      <xdr:row>64</xdr:row>
      <xdr:rowOff>95250</xdr:rowOff>
    </xdr:to>
    <xdr:cxnSp macro="">
      <xdr:nvCxnSpPr>
        <xdr:cNvPr id="46" name="Straight Arrow Connector 45"/>
        <xdr:cNvCxnSpPr/>
      </xdr:nvCxnSpPr>
      <xdr:spPr>
        <a:xfrm flipV="1">
          <a:off x="8204200" y="13112750"/>
          <a:ext cx="952500" cy="40005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596900</xdr:colOff>
      <xdr:row>62</xdr:row>
      <xdr:rowOff>69850</xdr:rowOff>
    </xdr:from>
    <xdr:to>
      <xdr:col>15</xdr:col>
      <xdr:colOff>234950</xdr:colOff>
      <xdr:row>65</xdr:row>
      <xdr:rowOff>95250</xdr:rowOff>
    </xdr:to>
    <xdr:cxnSp macro="">
      <xdr:nvCxnSpPr>
        <xdr:cNvPr id="48" name="Straight Arrow Connector 47"/>
        <xdr:cNvCxnSpPr/>
      </xdr:nvCxnSpPr>
      <xdr:spPr>
        <a:xfrm flipV="1">
          <a:off x="8267700" y="13106400"/>
          <a:ext cx="1460500" cy="5969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41</xdr:col>
      <xdr:colOff>114300</xdr:colOff>
      <xdr:row>1</xdr:row>
      <xdr:rowOff>47625</xdr:rowOff>
    </xdr:from>
    <xdr:to>
      <xdr:col>45</xdr:col>
      <xdr:colOff>18788</xdr:colOff>
      <xdr:row>9</xdr:row>
      <xdr:rowOff>95013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107900" y="238125"/>
          <a:ext cx="2342888" cy="1799988"/>
        </a:xfrm>
        <a:prstGeom prst="rect">
          <a:avLst/>
        </a:prstGeom>
      </xdr:spPr>
    </xdr:pic>
    <xdr:clientData/>
  </xdr:twoCellAnchor>
  <xdr:twoCellAnchor editAs="oneCell">
    <xdr:from>
      <xdr:col>41</xdr:col>
      <xdr:colOff>285750</xdr:colOff>
      <xdr:row>17</xdr:row>
      <xdr:rowOff>81506</xdr:rowOff>
    </xdr:from>
    <xdr:to>
      <xdr:col>44</xdr:col>
      <xdr:colOff>466725</xdr:colOff>
      <xdr:row>26</xdr:row>
      <xdr:rowOff>190282</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279350" y="3548606"/>
          <a:ext cx="2009775" cy="1823276"/>
        </a:xfrm>
        <a:prstGeom prst="rect">
          <a:avLst/>
        </a:prstGeom>
      </xdr:spPr>
    </xdr:pic>
    <xdr:clientData/>
  </xdr:twoCellAnchor>
  <xdr:twoCellAnchor editAs="oneCell">
    <xdr:from>
      <xdr:col>31</xdr:col>
      <xdr:colOff>266701</xdr:colOff>
      <xdr:row>1</xdr:row>
      <xdr:rowOff>28575</xdr:rowOff>
    </xdr:from>
    <xdr:to>
      <xdr:col>35</xdr:col>
      <xdr:colOff>171177</xdr:colOff>
      <xdr:row>17</xdr:row>
      <xdr:rowOff>94832</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164301" y="219075"/>
          <a:ext cx="2342876" cy="3342857"/>
        </a:xfrm>
        <a:prstGeom prst="rect">
          <a:avLst/>
        </a:prstGeom>
      </xdr:spPr>
    </xdr:pic>
    <xdr:clientData/>
  </xdr:twoCellAnchor>
  <xdr:twoCellAnchor editAs="oneCell">
    <xdr:from>
      <xdr:col>4</xdr:col>
      <xdr:colOff>371476</xdr:colOff>
      <xdr:row>37</xdr:row>
      <xdr:rowOff>95250</xdr:rowOff>
    </xdr:from>
    <xdr:to>
      <xdr:col>8</xdr:col>
      <xdr:colOff>509328</xdr:colOff>
      <xdr:row>59</xdr:row>
      <xdr:rowOff>152400</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09876" y="7343775"/>
          <a:ext cx="2576252" cy="4248150"/>
        </a:xfrm>
        <a:prstGeom prst="rect">
          <a:avLst/>
        </a:prstGeom>
      </xdr:spPr>
    </xdr:pic>
    <xdr:clientData/>
  </xdr:twoCellAnchor>
  <xdr:twoCellAnchor editAs="oneCell">
    <xdr:from>
      <xdr:col>23</xdr:col>
      <xdr:colOff>84365</xdr:colOff>
      <xdr:row>68</xdr:row>
      <xdr:rowOff>131990</xdr:rowOff>
    </xdr:from>
    <xdr:to>
      <xdr:col>26</xdr:col>
      <xdr:colOff>296636</xdr:colOff>
      <xdr:row>85</xdr:row>
      <xdr:rowOff>164647</xdr:rowOff>
    </xdr:to>
    <xdr:pic>
      <xdr:nvPicPr>
        <xdr:cNvPr id="12"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167758" y="13453383"/>
          <a:ext cx="2049235" cy="3407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87087</xdr:colOff>
      <xdr:row>70</xdr:row>
      <xdr:rowOff>65317</xdr:rowOff>
    </xdr:from>
    <xdr:to>
      <xdr:col>12</xdr:col>
      <xdr:colOff>1362</xdr:colOff>
      <xdr:row>87</xdr:row>
      <xdr:rowOff>29362</xdr:rowOff>
    </xdr:to>
    <xdr:pic>
      <xdr:nvPicPr>
        <xdr:cNvPr id="13"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85658" y="13849353"/>
          <a:ext cx="2363561" cy="3256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419099</xdr:colOff>
      <xdr:row>71</xdr:row>
      <xdr:rowOff>151039</xdr:rowOff>
    </xdr:from>
    <xdr:to>
      <xdr:col>21</xdr:col>
      <xdr:colOff>352425</xdr:colOff>
      <xdr:row>86</xdr:row>
      <xdr:rowOff>151037</xdr:rowOff>
    </xdr:to>
    <xdr:pic>
      <xdr:nvPicPr>
        <xdr:cNvPr id="14" name="Picture 1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79278" y="14125575"/>
          <a:ext cx="4831897" cy="2911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534762</xdr:colOff>
      <xdr:row>69</xdr:row>
      <xdr:rowOff>140153</xdr:rowOff>
    </xdr:from>
    <xdr:to>
      <xdr:col>5</xdr:col>
      <xdr:colOff>131990</xdr:colOff>
      <xdr:row>87</xdr:row>
      <xdr:rowOff>121102</xdr:rowOff>
    </xdr:to>
    <xdr:pic>
      <xdr:nvPicPr>
        <xdr:cNvPr id="15" name="Picture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4762" y="13733689"/>
          <a:ext cx="2658835" cy="3464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561975</xdr:colOff>
      <xdr:row>109</xdr:row>
      <xdr:rowOff>0</xdr:rowOff>
    </xdr:from>
    <xdr:to>
      <xdr:col>5</xdr:col>
      <xdr:colOff>561589</xdr:colOff>
      <xdr:row>131</xdr:row>
      <xdr:rowOff>37572</xdr:rowOff>
    </xdr:to>
    <xdr:pic>
      <xdr:nvPicPr>
        <xdr:cNvPr id="16" name="Picture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61975" y="21212175"/>
          <a:ext cx="3047614" cy="4228572"/>
        </a:xfrm>
        <a:prstGeom prst="rect">
          <a:avLst/>
        </a:prstGeom>
      </xdr:spPr>
    </xdr:pic>
    <xdr:clientData/>
  </xdr:twoCellAnchor>
  <xdr:twoCellAnchor editAs="oneCell">
    <xdr:from>
      <xdr:col>1</xdr:col>
      <xdr:colOff>38100</xdr:colOff>
      <xdr:row>147</xdr:row>
      <xdr:rowOff>0</xdr:rowOff>
    </xdr:from>
    <xdr:to>
      <xdr:col>3</xdr:col>
      <xdr:colOff>92526</xdr:colOff>
      <xdr:row>168</xdr:row>
      <xdr:rowOff>28575</xdr:rowOff>
    </xdr:to>
    <xdr:pic>
      <xdr:nvPicPr>
        <xdr:cNvPr id="19" name="Picture 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28498800"/>
          <a:ext cx="1273626" cy="4029075"/>
        </a:xfrm>
        <a:prstGeom prst="rect">
          <a:avLst/>
        </a:prstGeom>
      </xdr:spPr>
    </xdr:pic>
    <xdr:clientData/>
  </xdr:twoCellAnchor>
  <xdr:twoCellAnchor editAs="oneCell">
    <xdr:from>
      <xdr:col>3</xdr:col>
      <xdr:colOff>485775</xdr:colOff>
      <xdr:row>146</xdr:row>
      <xdr:rowOff>171451</xdr:rowOff>
    </xdr:from>
    <xdr:to>
      <xdr:col>6</xdr:col>
      <xdr:colOff>95250</xdr:colOff>
      <xdr:row>168</xdr:row>
      <xdr:rowOff>1</xdr:rowOff>
    </xdr:to>
    <xdr:pic>
      <xdr:nvPicPr>
        <xdr:cNvPr id="20" name="Picture 1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314575" y="28479751"/>
          <a:ext cx="1438275" cy="4019550"/>
        </a:xfrm>
        <a:prstGeom prst="rect">
          <a:avLst/>
        </a:prstGeom>
      </xdr:spPr>
    </xdr:pic>
    <xdr:clientData/>
  </xdr:twoCellAnchor>
  <xdr:twoCellAnchor editAs="oneCell">
    <xdr:from>
      <xdr:col>12</xdr:col>
      <xdr:colOff>114299</xdr:colOff>
      <xdr:row>148</xdr:row>
      <xdr:rowOff>38099</xdr:rowOff>
    </xdr:from>
    <xdr:to>
      <xdr:col>15</xdr:col>
      <xdr:colOff>448057</xdr:colOff>
      <xdr:row>167</xdr:row>
      <xdr:rowOff>19050</xdr:rowOff>
    </xdr:to>
    <xdr:pic>
      <xdr:nvPicPr>
        <xdr:cNvPr id="21" name="Picture 2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29499" y="28727399"/>
          <a:ext cx="2162558" cy="3600451"/>
        </a:xfrm>
        <a:prstGeom prst="rect">
          <a:avLst/>
        </a:prstGeom>
      </xdr:spPr>
    </xdr:pic>
    <xdr:clientData/>
  </xdr:twoCellAnchor>
  <xdr:twoCellAnchor editAs="oneCell">
    <xdr:from>
      <xdr:col>6</xdr:col>
      <xdr:colOff>96612</xdr:colOff>
      <xdr:row>148</xdr:row>
      <xdr:rowOff>0</xdr:rowOff>
    </xdr:from>
    <xdr:to>
      <xdr:col>11</xdr:col>
      <xdr:colOff>175481</xdr:colOff>
      <xdr:row>167</xdr:row>
      <xdr:rowOff>161925</xdr:rowOff>
    </xdr:to>
    <xdr:pic>
      <xdr:nvPicPr>
        <xdr:cNvPr id="22" name="Picture 2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770541" y="28942393"/>
          <a:ext cx="3140476" cy="3781425"/>
        </a:xfrm>
        <a:prstGeom prst="rect">
          <a:avLst/>
        </a:prstGeom>
      </xdr:spPr>
    </xdr:pic>
    <xdr:clientData/>
  </xdr:twoCellAnchor>
  <xdr:twoCellAnchor editAs="oneCell">
    <xdr:from>
      <xdr:col>9</xdr:col>
      <xdr:colOff>85725</xdr:colOff>
      <xdr:row>178</xdr:row>
      <xdr:rowOff>28575</xdr:rowOff>
    </xdr:from>
    <xdr:to>
      <xdr:col>16</xdr:col>
      <xdr:colOff>409575</xdr:colOff>
      <xdr:row>189</xdr:row>
      <xdr:rowOff>139806</xdr:rowOff>
    </xdr:to>
    <xdr:pic>
      <xdr:nvPicPr>
        <xdr:cNvPr id="23" name="Picture 2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933950" y="96364425"/>
          <a:ext cx="4333875" cy="2206731"/>
        </a:xfrm>
        <a:prstGeom prst="rect">
          <a:avLst/>
        </a:prstGeom>
      </xdr:spPr>
    </xdr:pic>
    <xdr:clientData/>
  </xdr:twoCellAnchor>
  <xdr:twoCellAnchor editAs="oneCell">
    <xdr:from>
      <xdr:col>1</xdr:col>
      <xdr:colOff>1</xdr:colOff>
      <xdr:row>178</xdr:row>
      <xdr:rowOff>0</xdr:rowOff>
    </xdr:from>
    <xdr:to>
      <xdr:col>7</xdr:col>
      <xdr:colOff>47626</xdr:colOff>
      <xdr:row>190</xdr:row>
      <xdr:rowOff>24620</xdr:rowOff>
    </xdr:to>
    <xdr:pic>
      <xdr:nvPicPr>
        <xdr:cNvPr id="24" name="Picture 2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19076" y="96335850"/>
          <a:ext cx="4076700" cy="2310620"/>
        </a:xfrm>
        <a:prstGeom prst="rect">
          <a:avLst/>
        </a:prstGeom>
      </xdr:spPr>
    </xdr:pic>
    <xdr:clientData/>
  </xdr:twoCellAnchor>
  <xdr:twoCellAnchor editAs="oneCell">
    <xdr:from>
      <xdr:col>0</xdr:col>
      <xdr:colOff>27517</xdr:colOff>
      <xdr:row>213</xdr:row>
      <xdr:rowOff>79371</xdr:rowOff>
    </xdr:from>
    <xdr:to>
      <xdr:col>6</xdr:col>
      <xdr:colOff>541867</xdr:colOff>
      <xdr:row>227</xdr:row>
      <xdr:rowOff>174621</xdr:rowOff>
    </xdr:to>
    <xdr:pic>
      <xdr:nvPicPr>
        <xdr:cNvPr id="25" name="Picture 2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7517" y="41502538"/>
          <a:ext cx="4197350" cy="2762250"/>
        </a:xfrm>
        <a:prstGeom prst="rect">
          <a:avLst/>
        </a:prstGeom>
      </xdr:spPr>
    </xdr:pic>
    <xdr:clientData/>
  </xdr:twoCellAnchor>
  <xdr:twoCellAnchor editAs="oneCell">
    <xdr:from>
      <xdr:col>7</xdr:col>
      <xdr:colOff>55086</xdr:colOff>
      <xdr:row>212</xdr:row>
      <xdr:rowOff>156633</xdr:rowOff>
    </xdr:from>
    <xdr:to>
      <xdr:col>13</xdr:col>
      <xdr:colOff>583142</xdr:colOff>
      <xdr:row>226</xdr:row>
      <xdr:rowOff>89959</xdr:rowOff>
    </xdr:to>
    <xdr:pic>
      <xdr:nvPicPr>
        <xdr:cNvPr id="26" name="Picture 2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351919" y="41463383"/>
          <a:ext cx="4211056" cy="2600326"/>
        </a:xfrm>
        <a:prstGeom prst="rect">
          <a:avLst/>
        </a:prstGeom>
      </xdr:spPr>
    </xdr:pic>
    <xdr:clientData/>
  </xdr:twoCellAnchor>
  <xdr:twoCellAnchor editAs="oneCell">
    <xdr:from>
      <xdr:col>6</xdr:col>
      <xdr:colOff>509013</xdr:colOff>
      <xdr:row>228</xdr:row>
      <xdr:rowOff>169335</xdr:rowOff>
    </xdr:from>
    <xdr:to>
      <xdr:col>14</xdr:col>
      <xdr:colOff>144992</xdr:colOff>
      <xdr:row>242</xdr:row>
      <xdr:rowOff>121708</xdr:rowOff>
    </xdr:to>
    <xdr:pic>
      <xdr:nvPicPr>
        <xdr:cNvPr id="27" name="Picture 2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192013" y="44524085"/>
          <a:ext cx="4546646" cy="2619373"/>
        </a:xfrm>
        <a:prstGeom prst="rect">
          <a:avLst/>
        </a:prstGeom>
      </xdr:spPr>
    </xdr:pic>
    <xdr:clientData/>
  </xdr:twoCellAnchor>
  <xdr:twoCellAnchor editAs="oneCell">
    <xdr:from>
      <xdr:col>1</xdr:col>
      <xdr:colOff>180974</xdr:colOff>
      <xdr:row>199</xdr:row>
      <xdr:rowOff>66675</xdr:rowOff>
    </xdr:from>
    <xdr:to>
      <xdr:col>5</xdr:col>
      <xdr:colOff>133349</xdr:colOff>
      <xdr:row>205</xdr:row>
      <xdr:rowOff>142722</xdr:rowOff>
    </xdr:to>
    <xdr:pic>
      <xdr:nvPicPr>
        <xdr:cNvPr id="28" name="Picture 2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90574" y="38642925"/>
          <a:ext cx="2390775" cy="1219047"/>
        </a:xfrm>
        <a:prstGeom prst="rect">
          <a:avLst/>
        </a:prstGeom>
      </xdr:spPr>
    </xdr:pic>
    <xdr:clientData/>
  </xdr:twoCellAnchor>
  <xdr:twoCellAnchor editAs="oneCell">
    <xdr:from>
      <xdr:col>7</xdr:col>
      <xdr:colOff>47625</xdr:colOff>
      <xdr:row>199</xdr:row>
      <xdr:rowOff>114300</xdr:rowOff>
    </xdr:from>
    <xdr:to>
      <xdr:col>12</xdr:col>
      <xdr:colOff>161531</xdr:colOff>
      <xdr:row>204</xdr:row>
      <xdr:rowOff>152271</xdr:rowOff>
    </xdr:to>
    <xdr:pic>
      <xdr:nvPicPr>
        <xdr:cNvPr id="29" name="Picture 2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314825" y="38690550"/>
          <a:ext cx="3161906" cy="990471"/>
        </a:xfrm>
        <a:prstGeom prst="rect">
          <a:avLst/>
        </a:prstGeom>
      </xdr:spPr>
    </xdr:pic>
    <xdr:clientData/>
  </xdr:twoCellAnchor>
  <xdr:twoCellAnchor editAs="oneCell">
    <xdr:from>
      <xdr:col>13</xdr:col>
      <xdr:colOff>504825</xdr:colOff>
      <xdr:row>197</xdr:row>
      <xdr:rowOff>85725</xdr:rowOff>
    </xdr:from>
    <xdr:to>
      <xdr:col>18</xdr:col>
      <xdr:colOff>466439</xdr:colOff>
      <xdr:row>208</xdr:row>
      <xdr:rowOff>114023</xdr:rowOff>
    </xdr:to>
    <xdr:pic>
      <xdr:nvPicPr>
        <xdr:cNvPr id="30" name="Picture 29"/>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429625" y="38233350"/>
          <a:ext cx="3009614" cy="2209522"/>
        </a:xfrm>
        <a:prstGeom prst="rect">
          <a:avLst/>
        </a:prstGeom>
      </xdr:spPr>
    </xdr:pic>
    <xdr:clientData/>
  </xdr:twoCellAnchor>
  <xdr:twoCellAnchor editAs="oneCell">
    <xdr:from>
      <xdr:col>14</xdr:col>
      <xdr:colOff>105833</xdr:colOff>
      <xdr:row>214</xdr:row>
      <xdr:rowOff>185210</xdr:rowOff>
    </xdr:from>
    <xdr:to>
      <xdr:col>20</xdr:col>
      <xdr:colOff>448733</xdr:colOff>
      <xdr:row>228</xdr:row>
      <xdr:rowOff>184734</xdr:rowOff>
    </xdr:to>
    <xdr:pic>
      <xdr:nvPicPr>
        <xdr:cNvPr id="31" name="Picture 3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699500" y="41872960"/>
          <a:ext cx="4025900" cy="2666524"/>
        </a:xfrm>
        <a:prstGeom prst="rect">
          <a:avLst/>
        </a:prstGeom>
      </xdr:spPr>
    </xdr:pic>
    <xdr:clientData/>
  </xdr:twoCellAnchor>
  <xdr:twoCellAnchor editAs="oneCell">
    <xdr:from>
      <xdr:col>22</xdr:col>
      <xdr:colOff>85725</xdr:colOff>
      <xdr:row>200</xdr:row>
      <xdr:rowOff>19050</xdr:rowOff>
    </xdr:from>
    <xdr:to>
      <xdr:col>25</xdr:col>
      <xdr:colOff>577701</xdr:colOff>
      <xdr:row>209</xdr:row>
      <xdr:rowOff>95250</xdr:rowOff>
    </xdr:to>
    <xdr:pic>
      <xdr:nvPicPr>
        <xdr:cNvPr id="32" name="Picture 3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3496925" y="38785800"/>
          <a:ext cx="2320776" cy="1800225"/>
        </a:xfrm>
        <a:prstGeom prst="rect">
          <a:avLst/>
        </a:prstGeom>
      </xdr:spPr>
    </xdr:pic>
    <xdr:clientData/>
  </xdr:twoCellAnchor>
  <xdr:twoCellAnchor editAs="oneCell">
    <xdr:from>
      <xdr:col>23</xdr:col>
      <xdr:colOff>0</xdr:colOff>
      <xdr:row>214</xdr:row>
      <xdr:rowOff>0</xdr:rowOff>
    </xdr:from>
    <xdr:to>
      <xdr:col>26</xdr:col>
      <xdr:colOff>104775</xdr:colOff>
      <xdr:row>223</xdr:row>
      <xdr:rowOff>133350</xdr:rowOff>
    </xdr:to>
    <xdr:sp macro="" textlink="">
      <xdr:nvSpPr>
        <xdr:cNvPr id="33" name="AutoShape 1" descr="http://media.ludwig-drums.com/Ludwig/2013_Ludwig_Catalog_AV8147/_12_Snare_Drums/LOW/Maple/LS462.jpg"/>
        <xdr:cNvSpPr>
          <a:spLocks noChangeAspect="1" noChangeArrowheads="1"/>
        </xdr:cNvSpPr>
      </xdr:nvSpPr>
      <xdr:spPr bwMode="auto">
        <a:xfrm>
          <a:off x="7648575" y="141789150"/>
          <a:ext cx="1924050" cy="1924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419101</xdr:colOff>
      <xdr:row>219</xdr:row>
      <xdr:rowOff>76201</xdr:rowOff>
    </xdr:from>
    <xdr:to>
      <xdr:col>27</xdr:col>
      <xdr:colOff>114301</xdr:colOff>
      <xdr:row>231</xdr:row>
      <xdr:rowOff>104775</xdr:rowOff>
    </xdr:to>
    <xdr:pic>
      <xdr:nvPicPr>
        <xdr:cNvPr id="34" name="Picture 3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220701" y="42491026"/>
          <a:ext cx="3352800" cy="2314574"/>
        </a:xfrm>
        <a:prstGeom prst="rect">
          <a:avLst/>
        </a:prstGeom>
      </xdr:spPr>
    </xdr:pic>
    <xdr:clientData/>
  </xdr:twoCellAnchor>
  <xdr:twoCellAnchor editAs="oneCell">
    <xdr:from>
      <xdr:col>17</xdr:col>
      <xdr:colOff>295275</xdr:colOff>
      <xdr:row>0</xdr:row>
      <xdr:rowOff>142874</xdr:rowOff>
    </xdr:from>
    <xdr:to>
      <xdr:col>19</xdr:col>
      <xdr:colOff>514350</xdr:colOff>
      <xdr:row>23</xdr:row>
      <xdr:rowOff>107378</xdr:rowOff>
    </xdr:to>
    <xdr:pic>
      <xdr:nvPicPr>
        <xdr:cNvPr id="35" name="Picture 3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658475" y="142874"/>
          <a:ext cx="1438275" cy="4574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76200</xdr:colOff>
      <xdr:row>0</xdr:row>
      <xdr:rowOff>133350</xdr:rowOff>
    </xdr:from>
    <xdr:to>
      <xdr:col>25</xdr:col>
      <xdr:colOff>95250</xdr:colOff>
      <xdr:row>22</xdr:row>
      <xdr:rowOff>174078</xdr:rowOff>
    </xdr:to>
    <xdr:pic>
      <xdr:nvPicPr>
        <xdr:cNvPr id="36" name="Picture 35"/>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487400" y="133350"/>
          <a:ext cx="1847850" cy="4460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171450</xdr:colOff>
      <xdr:row>0</xdr:row>
      <xdr:rowOff>76200</xdr:rowOff>
    </xdr:from>
    <xdr:to>
      <xdr:col>39</xdr:col>
      <xdr:colOff>552449</xdr:colOff>
      <xdr:row>24</xdr:row>
      <xdr:rowOff>183333</xdr:rowOff>
    </xdr:to>
    <xdr:pic>
      <xdr:nvPicPr>
        <xdr:cNvPr id="37" name="Picture 36"/>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2117050" y="76200"/>
          <a:ext cx="2209799" cy="4907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257176</xdr:colOff>
      <xdr:row>2</xdr:row>
      <xdr:rowOff>19050</xdr:rowOff>
    </xdr:from>
    <xdr:to>
      <xdr:col>4</xdr:col>
      <xdr:colOff>219076</xdr:colOff>
      <xdr:row>25</xdr:row>
      <xdr:rowOff>154227</xdr:rowOff>
    </xdr:to>
    <xdr:pic>
      <xdr:nvPicPr>
        <xdr:cNvPr id="38" name="Picture 37"/>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7176" y="474133"/>
          <a:ext cx="2417233" cy="4664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0</xdr:row>
      <xdr:rowOff>142875</xdr:rowOff>
    </xdr:from>
    <xdr:to>
      <xdr:col>7</xdr:col>
      <xdr:colOff>207613</xdr:colOff>
      <xdr:row>25</xdr:row>
      <xdr:rowOff>171450</xdr:rowOff>
    </xdr:to>
    <xdr:pic>
      <xdr:nvPicPr>
        <xdr:cNvPr id="39" name="Picture 38"/>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295650" y="142875"/>
          <a:ext cx="1179163" cy="501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523875</xdr:colOff>
      <xdr:row>0</xdr:row>
      <xdr:rowOff>85725</xdr:rowOff>
    </xdr:from>
    <xdr:to>
      <xdr:col>15</xdr:col>
      <xdr:colOff>228600</xdr:colOff>
      <xdr:row>26</xdr:row>
      <xdr:rowOff>76144</xdr:rowOff>
    </xdr:to>
    <xdr:pic>
      <xdr:nvPicPr>
        <xdr:cNvPr id="40" name="Picture 39"/>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400675" y="85725"/>
          <a:ext cx="3971925" cy="5172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34</xdr:row>
      <xdr:rowOff>206124</xdr:rowOff>
    </xdr:from>
    <xdr:to>
      <xdr:col>3</xdr:col>
      <xdr:colOff>215977</xdr:colOff>
      <xdr:row>61</xdr:row>
      <xdr:rowOff>34019</xdr:rowOff>
    </xdr:to>
    <xdr:pic>
      <xdr:nvPicPr>
        <xdr:cNvPr id="41" name="Picture 40"/>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85800" y="6930774"/>
          <a:ext cx="1358977" cy="4985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238125</xdr:colOff>
      <xdr:row>0</xdr:row>
      <xdr:rowOff>47625</xdr:rowOff>
    </xdr:from>
    <xdr:to>
      <xdr:col>29</xdr:col>
      <xdr:colOff>104774</xdr:colOff>
      <xdr:row>26</xdr:row>
      <xdr:rowOff>188062</xdr:rowOff>
    </xdr:to>
    <xdr:pic>
      <xdr:nvPicPr>
        <xdr:cNvPr id="42" name="Picture 41"/>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6087725" y="47625"/>
          <a:ext cx="1695449" cy="532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107</xdr:row>
      <xdr:rowOff>95250</xdr:rowOff>
    </xdr:from>
    <xdr:to>
      <xdr:col>13</xdr:col>
      <xdr:colOff>459921</xdr:colOff>
      <xdr:row>131</xdr:row>
      <xdr:rowOff>166006</xdr:rowOff>
    </xdr:to>
    <xdr:pic>
      <xdr:nvPicPr>
        <xdr:cNvPr id="5" name="Picture 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667250" y="21063857"/>
          <a:ext cx="3752850" cy="4724400"/>
        </a:xfrm>
        <a:prstGeom prst="rect">
          <a:avLst/>
        </a:prstGeom>
      </xdr:spPr>
    </xdr:pic>
    <xdr:clientData/>
  </xdr:twoCellAnchor>
  <xdr:twoCellAnchor editAs="oneCell">
    <xdr:from>
      <xdr:col>14</xdr:col>
      <xdr:colOff>312964</xdr:colOff>
      <xdr:row>107</xdr:row>
      <xdr:rowOff>95250</xdr:rowOff>
    </xdr:from>
    <xdr:to>
      <xdr:col>21</xdr:col>
      <xdr:colOff>608239</xdr:colOff>
      <xdr:row>130</xdr:row>
      <xdr:rowOff>118381</xdr:rowOff>
    </xdr:to>
    <xdr:pic>
      <xdr:nvPicPr>
        <xdr:cNvPr id="6" name="Picture 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8885464" y="21063857"/>
          <a:ext cx="4581525" cy="4486275"/>
        </a:xfrm>
        <a:prstGeom prst="rect">
          <a:avLst/>
        </a:prstGeom>
      </xdr:spPr>
    </xdr:pic>
    <xdr:clientData/>
  </xdr:twoCellAnchor>
  <xdr:twoCellAnchor editAs="oneCell">
    <xdr:from>
      <xdr:col>1</xdr:col>
      <xdr:colOff>63500</xdr:colOff>
      <xdr:row>249</xdr:row>
      <xdr:rowOff>137584</xdr:rowOff>
    </xdr:from>
    <xdr:to>
      <xdr:col>4</xdr:col>
      <xdr:colOff>187325</xdr:colOff>
      <xdr:row>274</xdr:row>
      <xdr:rowOff>16934</xdr:rowOff>
    </xdr:to>
    <xdr:pic>
      <xdr:nvPicPr>
        <xdr:cNvPr id="43" name="Picture 42"/>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77333" y="49635834"/>
          <a:ext cx="1965325" cy="464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529167</xdr:colOff>
      <xdr:row>250</xdr:row>
      <xdr:rowOff>42333</xdr:rowOff>
    </xdr:from>
    <xdr:to>
      <xdr:col>15</xdr:col>
      <xdr:colOff>20109</xdr:colOff>
      <xdr:row>266</xdr:row>
      <xdr:rowOff>55033</xdr:rowOff>
    </xdr:to>
    <xdr:pic>
      <xdr:nvPicPr>
        <xdr:cNvPr id="44" name="Picture 43"/>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39834" y="49784000"/>
          <a:ext cx="3787775" cy="306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465667</xdr:colOff>
      <xdr:row>71</xdr:row>
      <xdr:rowOff>63500</xdr:rowOff>
    </xdr:from>
    <xdr:to>
      <xdr:col>37</xdr:col>
      <xdr:colOff>284156</xdr:colOff>
      <xdr:row>87</xdr:row>
      <xdr:rowOff>104774</xdr:rowOff>
    </xdr:to>
    <xdr:pic>
      <xdr:nvPicPr>
        <xdr:cNvPr id="45" name="Picture 44"/>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7039167" y="13991167"/>
          <a:ext cx="5956822" cy="3142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444500</xdr:colOff>
      <xdr:row>35</xdr:row>
      <xdr:rowOff>63500</xdr:rowOff>
    </xdr:from>
    <xdr:to>
      <xdr:col>20</xdr:col>
      <xdr:colOff>433916</xdr:colOff>
      <xdr:row>62</xdr:row>
      <xdr:rowOff>3817</xdr:rowOff>
    </xdr:to>
    <xdr:pic>
      <xdr:nvPicPr>
        <xdr:cNvPr id="46" name="Picture 45"/>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0265833" y="7048500"/>
          <a:ext cx="2444750" cy="5136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42333</xdr:colOff>
      <xdr:row>33</xdr:row>
      <xdr:rowOff>169333</xdr:rowOff>
    </xdr:from>
    <xdr:to>
      <xdr:col>13</xdr:col>
      <xdr:colOff>211667</xdr:colOff>
      <xdr:row>63</xdr:row>
      <xdr:rowOff>18351</xdr:rowOff>
    </xdr:to>
    <xdr:pic>
      <xdr:nvPicPr>
        <xdr:cNvPr id="47" name="Picture 46"/>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794500" y="6699250"/>
          <a:ext cx="1397000" cy="5743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40"/>
  <sheetViews>
    <sheetView workbookViewId="0">
      <selection activeCell="A7" sqref="A7"/>
    </sheetView>
  </sheetViews>
  <sheetFormatPr defaultRowHeight="14.4" x14ac:dyDescent="0.3"/>
  <cols>
    <col min="1" max="1" width="94.5546875" customWidth="1"/>
    <col min="2" max="2" width="2.6640625" customWidth="1"/>
  </cols>
  <sheetData>
    <row r="1" spans="1:2" x14ac:dyDescent="0.3">
      <c r="A1" s="214" t="s">
        <v>982</v>
      </c>
    </row>
    <row r="2" spans="1:2" x14ac:dyDescent="0.3">
      <c r="A2" s="214"/>
    </row>
    <row r="3" spans="1:2" x14ac:dyDescent="0.3">
      <c r="A3" s="214" t="s">
        <v>988</v>
      </c>
    </row>
    <row r="4" spans="1:2" x14ac:dyDescent="0.3">
      <c r="A4" s="214"/>
    </row>
    <row r="5" spans="1:2" ht="28.8" x14ac:dyDescent="0.3">
      <c r="A5" s="214" t="s">
        <v>989</v>
      </c>
    </row>
    <row r="6" spans="1:2" x14ac:dyDescent="0.3">
      <c r="A6" s="214"/>
    </row>
    <row r="7" spans="1:2" ht="28.8" x14ac:dyDescent="0.3">
      <c r="A7" s="214" t="s">
        <v>1026</v>
      </c>
    </row>
    <row r="8" spans="1:2" x14ac:dyDescent="0.3">
      <c r="A8" s="214"/>
    </row>
    <row r="9" spans="1:2" x14ac:dyDescent="0.3">
      <c r="A9" s="214" t="s">
        <v>1025</v>
      </c>
    </row>
    <row r="10" spans="1:2" x14ac:dyDescent="0.3">
      <c r="A10" s="214"/>
    </row>
    <row r="11" spans="1:2" ht="28.8" x14ac:dyDescent="0.3">
      <c r="A11" s="214" t="s">
        <v>980</v>
      </c>
    </row>
    <row r="12" spans="1:2" x14ac:dyDescent="0.3">
      <c r="A12" s="214"/>
    </row>
    <row r="13" spans="1:2" x14ac:dyDescent="0.3">
      <c r="A13" s="214" t="s">
        <v>1028</v>
      </c>
      <c r="B13" s="152"/>
    </row>
    <row r="14" spans="1:2" x14ac:dyDescent="0.3">
      <c r="A14" s="214"/>
    </row>
    <row r="15" spans="1:2" ht="28.8" x14ac:dyDescent="0.3">
      <c r="A15" s="220" t="s">
        <v>1064</v>
      </c>
    </row>
    <row r="16" spans="1:2" x14ac:dyDescent="0.3">
      <c r="A16" s="214"/>
    </row>
    <row r="17" spans="1:2" ht="29.25" customHeight="1" x14ac:dyDescent="0.3">
      <c r="A17" s="223" t="s">
        <v>1027</v>
      </c>
    </row>
    <row r="18" spans="1:2" x14ac:dyDescent="0.3">
      <c r="A18" s="223"/>
    </row>
    <row r="19" spans="1:2" ht="28.8" x14ac:dyDescent="0.3">
      <c r="A19" s="214" t="s">
        <v>1030</v>
      </c>
      <c r="B19" s="228"/>
    </row>
    <row r="20" spans="1:2" x14ac:dyDescent="0.3">
      <c r="A20" s="214"/>
    </row>
    <row r="21" spans="1:2" ht="28.8" x14ac:dyDescent="0.3">
      <c r="A21" s="214" t="s">
        <v>1023</v>
      </c>
    </row>
    <row r="22" spans="1:2" x14ac:dyDescent="0.3">
      <c r="A22" s="214"/>
    </row>
    <row r="23" spans="1:2" x14ac:dyDescent="0.3">
      <c r="A23" s="214" t="s">
        <v>986</v>
      </c>
    </row>
    <row r="24" spans="1:2" x14ac:dyDescent="0.3">
      <c r="A24" s="214"/>
    </row>
    <row r="25" spans="1:2" ht="28.8" x14ac:dyDescent="0.3">
      <c r="A25" s="214" t="s">
        <v>981</v>
      </c>
    </row>
    <row r="26" spans="1:2" x14ac:dyDescent="0.3">
      <c r="A26" s="214"/>
    </row>
    <row r="27" spans="1:2" ht="28.8" x14ac:dyDescent="0.3">
      <c r="A27" s="214" t="s">
        <v>987</v>
      </c>
    </row>
    <row r="28" spans="1:2" x14ac:dyDescent="0.3">
      <c r="A28" s="214"/>
    </row>
    <row r="29" spans="1:2" x14ac:dyDescent="0.3">
      <c r="A29" s="214" t="s">
        <v>1024</v>
      </c>
    </row>
    <row r="30" spans="1:2" x14ac:dyDescent="0.3">
      <c r="A30" s="223"/>
    </row>
    <row r="31" spans="1:2" ht="43.2" x14ac:dyDescent="0.3">
      <c r="A31" s="214" t="s">
        <v>1029</v>
      </c>
    </row>
    <row r="32" spans="1:2" x14ac:dyDescent="0.3">
      <c r="A32" s="214"/>
    </row>
    <row r="33" spans="1:1" ht="28.8" x14ac:dyDescent="0.3">
      <c r="A33" s="214" t="s">
        <v>1031</v>
      </c>
    </row>
    <row r="34" spans="1:1" x14ac:dyDescent="0.3">
      <c r="A34" s="214"/>
    </row>
    <row r="35" spans="1:1" x14ac:dyDescent="0.3">
      <c r="A35" s="214"/>
    </row>
    <row r="36" spans="1:1" x14ac:dyDescent="0.3">
      <c r="A36" s="214"/>
    </row>
    <row r="37" spans="1:1" x14ac:dyDescent="0.3">
      <c r="A37" s="214"/>
    </row>
    <row r="38" spans="1:1" x14ac:dyDescent="0.3">
      <c r="A38" s="214"/>
    </row>
    <row r="39" spans="1:1" x14ac:dyDescent="0.3">
      <c r="A39" s="214"/>
    </row>
    <row r="40" spans="1:1" x14ac:dyDescent="0.3">
      <c r="A40" s="214"/>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J837"/>
  <sheetViews>
    <sheetView tabSelected="1" zoomScaleNormal="100" workbookViewId="0">
      <selection activeCell="B3" sqref="B3"/>
    </sheetView>
  </sheetViews>
  <sheetFormatPr defaultRowHeight="14.4" x14ac:dyDescent="0.3"/>
  <cols>
    <col min="1" max="1" width="3.33203125" style="247" customWidth="1"/>
    <col min="2" max="2" width="4.44140625" style="247" customWidth="1"/>
    <col min="3" max="3" width="16.5546875" style="247" bestFit="1" customWidth="1"/>
    <col min="4" max="4" width="3.44140625" style="248" customWidth="1"/>
    <col min="5" max="5" width="1.33203125" style="248" customWidth="1"/>
    <col min="6" max="6" width="3.6640625" style="247" customWidth="1"/>
    <col min="7" max="7" width="24" style="247" bestFit="1" customWidth="1"/>
    <col min="8" max="8" width="4.44140625" style="247" customWidth="1"/>
    <col min="9" max="9" width="4.5546875" style="247" customWidth="1"/>
    <col min="10" max="10" width="9.109375" style="247"/>
    <col min="11" max="11" width="5.5546875" style="247" customWidth="1"/>
    <col min="12" max="12" width="9" style="247" customWidth="1"/>
    <col min="13" max="14" width="9.109375" style="247"/>
    <col min="15" max="15" width="9.109375" style="250"/>
    <col min="16" max="16" width="9" style="250" customWidth="1"/>
    <col min="17" max="20" width="9.109375" style="250"/>
    <col min="21" max="29" width="9.109375" style="250" customWidth="1"/>
    <col min="30" max="30" width="9.109375" style="250" hidden="1" customWidth="1"/>
    <col min="31" max="32" width="9.109375" hidden="1" customWidth="1"/>
    <col min="33" max="33" width="9.109375" style="70" hidden="1" customWidth="1"/>
    <col min="34" max="40" width="9.109375" hidden="1" customWidth="1"/>
    <col min="41" max="41" width="15.44140625" hidden="1" customWidth="1"/>
    <col min="42" max="42" width="8.33203125" hidden="1" customWidth="1"/>
    <col min="43" max="44" width="9.109375" hidden="1" customWidth="1"/>
    <col min="45" max="45" width="24" hidden="1" customWidth="1"/>
    <col min="46" max="47" width="11" style="2" hidden="1" customWidth="1"/>
    <col min="48" max="49" width="9.109375" hidden="1" customWidth="1"/>
    <col min="50" max="50" width="24" hidden="1" customWidth="1"/>
    <col min="51" max="67" width="9.109375" hidden="1" customWidth="1"/>
    <col min="68" max="68" width="9.109375" style="2" hidden="1" customWidth="1"/>
    <col min="69" max="79" width="9.109375" hidden="1" customWidth="1"/>
    <col min="80" max="80" width="32.33203125" hidden="1" customWidth="1"/>
    <col min="81" max="82" width="9.109375" style="42" hidden="1" customWidth="1"/>
    <col min="83" max="83" width="24.44140625" hidden="1" customWidth="1"/>
    <col min="84" max="85" width="9.109375" hidden="1" customWidth="1"/>
    <col min="86" max="86" width="27.6640625" hidden="1" customWidth="1"/>
    <col min="87" max="87" width="4.6640625" hidden="1" customWidth="1"/>
    <col min="88" max="88" width="9.109375" hidden="1" customWidth="1"/>
    <col min="89" max="89" width="18.5546875" hidden="1" customWidth="1"/>
    <col min="90" max="90" width="4.6640625" hidden="1" customWidth="1"/>
    <col min="91" max="91" width="9.109375" hidden="1" customWidth="1"/>
    <col min="92" max="92" width="30.109375" hidden="1" customWidth="1"/>
    <col min="93" max="93" width="4.6640625" hidden="1" customWidth="1"/>
    <col min="94" max="94" width="9.109375" hidden="1" customWidth="1"/>
    <col min="95" max="95" width="22.5546875" hidden="1" customWidth="1"/>
    <col min="96" max="96" width="4.6640625" hidden="1" customWidth="1"/>
    <col min="97" max="97" width="9.109375" hidden="1" customWidth="1"/>
    <col min="98" max="98" width="24.6640625" hidden="1" customWidth="1"/>
    <col min="99" max="116" width="9.109375" hidden="1" customWidth="1"/>
    <col min="117" max="117" width="37.33203125" hidden="1" customWidth="1"/>
    <col min="118" max="118" width="11.88671875" hidden="1" customWidth="1"/>
    <col min="119" max="119" width="13.44140625" hidden="1" customWidth="1"/>
    <col min="120" max="133" width="9.109375" customWidth="1"/>
    <col min="134" max="134" width="21.109375" customWidth="1"/>
    <col min="135" max="135" width="32.88671875" customWidth="1"/>
    <col min="136" max="136" width="1.5546875" customWidth="1"/>
    <col min="137" max="137" width="18.44140625" customWidth="1"/>
    <col min="138" max="138" width="28.6640625" customWidth="1"/>
    <col min="139" max="141" width="9.109375" customWidth="1"/>
  </cols>
  <sheetData>
    <row r="1" spans="1:140" ht="15.6" x14ac:dyDescent="0.3">
      <c r="A1" s="51"/>
      <c r="B1" s="56" t="s">
        <v>1255</v>
      </c>
      <c r="C1" s="51"/>
      <c r="D1" s="52"/>
      <c r="E1" s="52"/>
      <c r="G1" s="51" t="s">
        <v>271</v>
      </c>
      <c r="H1" s="51"/>
      <c r="I1" s="51"/>
      <c r="J1" s="177" t="s">
        <v>623</v>
      </c>
      <c r="K1" s="392"/>
      <c r="L1" s="392"/>
      <c r="M1" s="392"/>
      <c r="N1" s="392"/>
      <c r="O1" s="177" t="s">
        <v>5</v>
      </c>
      <c r="P1" s="393"/>
      <c r="Q1" s="393"/>
      <c r="R1" s="53"/>
      <c r="S1" s="53"/>
      <c r="T1" s="53"/>
      <c r="U1" s="53"/>
      <c r="V1" s="53"/>
      <c r="W1" s="53"/>
      <c r="X1" s="53"/>
      <c r="Y1" s="53"/>
      <c r="Z1" s="53"/>
      <c r="AA1" s="53"/>
      <c r="AB1" s="53"/>
      <c r="AC1" s="53"/>
      <c r="AD1" s="152"/>
      <c r="AE1" s="152"/>
      <c r="AF1" s="152"/>
      <c r="AG1" s="188"/>
      <c r="AH1" s="152"/>
      <c r="AI1" s="152"/>
      <c r="AJ1" s="152"/>
      <c r="AK1" s="152"/>
      <c r="AL1" s="152"/>
      <c r="AM1" s="152"/>
      <c r="AN1" s="152"/>
      <c r="AO1" s="191"/>
      <c r="AP1" s="191"/>
      <c r="AQ1" s="191"/>
      <c r="AR1" s="152"/>
      <c r="AS1" s="191"/>
      <c r="AT1" s="191"/>
      <c r="AU1" s="191"/>
      <c r="AV1" s="152"/>
      <c r="AW1" s="152"/>
      <c r="AX1" s="152"/>
      <c r="AY1" s="152"/>
      <c r="AZ1" s="152"/>
      <c r="BA1" s="152"/>
      <c r="BB1" s="152"/>
      <c r="BC1" s="152"/>
      <c r="BD1" s="152"/>
      <c r="BE1" s="152"/>
      <c r="BF1" s="152"/>
      <c r="BG1" s="152"/>
      <c r="BH1" s="152"/>
      <c r="BI1" s="152"/>
      <c r="BJ1" s="152"/>
      <c r="BK1" s="152"/>
      <c r="BL1" s="152"/>
      <c r="BM1" s="152"/>
      <c r="BN1" s="188" t="s">
        <v>224</v>
      </c>
      <c r="BO1" s="152"/>
      <c r="BP1" s="31" t="s">
        <v>3</v>
      </c>
      <c r="BQ1" s="152"/>
      <c r="BR1" s="31" t="s">
        <v>229</v>
      </c>
      <c r="BS1" s="152" t="s">
        <v>9</v>
      </c>
      <c r="BT1" s="31" t="s">
        <v>30</v>
      </c>
      <c r="BU1" s="152" t="s">
        <v>1188</v>
      </c>
      <c r="BV1" s="152"/>
      <c r="BW1" s="152"/>
      <c r="BX1" s="152"/>
      <c r="BY1" s="152" t="s">
        <v>240</v>
      </c>
      <c r="BZ1" s="152"/>
      <c r="CA1" s="189" t="s">
        <v>404</v>
      </c>
      <c r="CB1" s="152"/>
      <c r="CC1" s="190"/>
      <c r="CD1" s="189" t="s">
        <v>404</v>
      </c>
      <c r="CE1" s="152"/>
      <c r="CF1" s="152"/>
      <c r="CG1" s="189" t="s">
        <v>404</v>
      </c>
      <c r="CH1" s="152"/>
      <c r="CI1" s="152"/>
      <c r="CJ1" s="189" t="s">
        <v>404</v>
      </c>
      <c r="CK1" s="152"/>
      <c r="CL1" s="152"/>
      <c r="CM1" s="189" t="s">
        <v>404</v>
      </c>
      <c r="CN1" s="152"/>
      <c r="CO1" s="190"/>
      <c r="CP1" s="189" t="s">
        <v>404</v>
      </c>
      <c r="CQ1" s="152"/>
      <c r="CR1" s="152"/>
      <c r="CS1" s="189" t="s">
        <v>404</v>
      </c>
      <c r="CT1" s="152"/>
      <c r="CU1" s="152"/>
      <c r="CV1" s="152"/>
      <c r="CW1" s="189" t="s">
        <v>511</v>
      </c>
      <c r="CX1" s="152"/>
      <c r="CY1" s="152"/>
      <c r="CZ1" s="152"/>
      <c r="DA1" s="152"/>
      <c r="DB1" s="152"/>
      <c r="DC1" s="152"/>
      <c r="DD1" s="152"/>
      <c r="DE1" s="152"/>
      <c r="DF1" s="152"/>
      <c r="DG1" s="152"/>
      <c r="DH1" s="152"/>
      <c r="DI1" s="152"/>
      <c r="DJ1" s="152"/>
      <c r="DK1" s="152"/>
      <c r="DL1" s="191"/>
      <c r="DM1" s="191"/>
      <c r="DN1" s="191"/>
      <c r="DO1" s="152"/>
      <c r="ED1" s="70" t="s">
        <v>406</v>
      </c>
    </row>
    <row r="2" spans="1:140" ht="18.75" customHeight="1" x14ac:dyDescent="0.3">
      <c r="A2" s="51"/>
      <c r="B2" s="51"/>
      <c r="C2" s="57" t="s">
        <v>218</v>
      </c>
      <c r="D2" s="58"/>
      <c r="E2" s="58"/>
      <c r="F2" s="60" t="s">
        <v>3</v>
      </c>
      <c r="G2" s="51"/>
      <c r="H2" s="65" t="str">
        <f>IF(AR65+AR66+AR68&gt;0,"BD Hoop Accent","Bass Hoop Inlay")</f>
        <v>Bass Hoop Inlay</v>
      </c>
      <c r="I2" s="51"/>
      <c r="J2" s="51"/>
      <c r="K2" s="51"/>
      <c r="L2" s="55" t="s">
        <v>143</v>
      </c>
      <c r="M2" s="55" t="s">
        <v>141</v>
      </c>
      <c r="N2" s="55" t="s">
        <v>144</v>
      </c>
      <c r="O2" s="55" t="s">
        <v>332</v>
      </c>
      <c r="P2" s="55" t="s">
        <v>141</v>
      </c>
      <c r="Q2"/>
      <c r="R2" s="53"/>
      <c r="S2" s="53"/>
      <c r="T2" s="53"/>
      <c r="U2" s="53"/>
      <c r="V2" s="53"/>
      <c r="W2" s="53"/>
      <c r="X2" s="53"/>
      <c r="Y2" s="53"/>
      <c r="Z2" s="53"/>
      <c r="AA2" s="53"/>
      <c r="AB2" s="53"/>
      <c r="AC2" s="53"/>
      <c r="AD2"/>
      <c r="AG2" s="70" t="s">
        <v>384</v>
      </c>
      <c r="AL2" t="s">
        <v>204</v>
      </c>
      <c r="AM2" t="s">
        <v>205</v>
      </c>
      <c r="AN2" t="s">
        <v>206</v>
      </c>
      <c r="AO2" s="11" t="s">
        <v>217</v>
      </c>
      <c r="AP2" s="23">
        <v>2015</v>
      </c>
      <c r="AR2" t="s">
        <v>204</v>
      </c>
      <c r="AS2" s="11" t="s">
        <v>3</v>
      </c>
      <c r="AT2" s="22" t="s">
        <v>219</v>
      </c>
      <c r="AU2" s="22" t="s">
        <v>220</v>
      </c>
      <c r="AW2" s="11"/>
      <c r="AX2" s="11" t="s">
        <v>132</v>
      </c>
      <c r="BA2" s="4" t="s">
        <v>143</v>
      </c>
      <c r="BB2" s="4" t="s">
        <v>141</v>
      </c>
      <c r="BC2" s="4" t="s">
        <v>144</v>
      </c>
      <c r="BD2" s="142" t="s">
        <v>332</v>
      </c>
      <c r="BE2" s="142" t="s">
        <v>141</v>
      </c>
      <c r="BF2" s="38"/>
      <c r="BH2" s="4"/>
      <c r="BN2" s="2" t="s">
        <v>225</v>
      </c>
      <c r="BO2" s="2" t="s">
        <v>226</v>
      </c>
      <c r="BP2" s="2" t="s">
        <v>227</v>
      </c>
      <c r="BQ2" s="2" t="s">
        <v>32</v>
      </c>
      <c r="BR2" s="2" t="s">
        <v>230</v>
      </c>
      <c r="BS2" s="2" t="s">
        <v>231</v>
      </c>
      <c r="BT2" s="2" t="s">
        <v>236</v>
      </c>
      <c r="BU2" s="2" t="s">
        <v>237</v>
      </c>
      <c r="BV2" s="2" t="s">
        <v>151</v>
      </c>
      <c r="BW2" s="222" t="s">
        <v>25</v>
      </c>
      <c r="BX2" s="222" t="s">
        <v>22</v>
      </c>
      <c r="BY2" s="2" t="s">
        <v>241</v>
      </c>
      <c r="CO2" s="121"/>
      <c r="CY2" t="s">
        <v>2</v>
      </c>
      <c r="CZ2" t="s">
        <v>566</v>
      </c>
      <c r="DA2" t="s">
        <v>3</v>
      </c>
      <c r="DB2" t="s">
        <v>6</v>
      </c>
      <c r="DC2" t="s">
        <v>567</v>
      </c>
      <c r="DD2" t="s">
        <v>568</v>
      </c>
      <c r="DE2" s="160" t="s">
        <v>569</v>
      </c>
      <c r="DF2" s="160" t="s">
        <v>570</v>
      </c>
      <c r="DM2" s="11" t="s">
        <v>979</v>
      </c>
      <c r="DN2" s="22" t="s">
        <v>227</v>
      </c>
      <c r="ED2" s="66" t="str">
        <f>IF(AN71=1,"Bass Drum",CONCATENATE(AN71," Bass Drums Chosen"))</f>
        <v>0 Bass Drums Chosen</v>
      </c>
      <c r="EE2" s="187" t="s">
        <v>639</v>
      </c>
      <c r="EF2" s="87"/>
      <c r="EG2" s="91"/>
      <c r="EH2" s="92"/>
      <c r="EJ2" t="s">
        <v>398</v>
      </c>
    </row>
    <row r="3" spans="1:140" ht="15" customHeight="1" x14ac:dyDescent="0.3">
      <c r="A3" s="391" t="s">
        <v>320</v>
      </c>
      <c r="B3" s="232"/>
      <c r="C3" s="72" t="s">
        <v>1017</v>
      </c>
      <c r="D3" s="73"/>
      <c r="E3" s="75"/>
      <c r="F3" s="95"/>
      <c r="G3" s="55" t="s">
        <v>119</v>
      </c>
      <c r="H3" s="339"/>
      <c r="I3" s="51"/>
      <c r="J3" s="51"/>
      <c r="K3" s="59" t="s">
        <v>6</v>
      </c>
      <c r="L3" s="55" t="s">
        <v>142</v>
      </c>
      <c r="M3" s="55" t="s">
        <v>142</v>
      </c>
      <c r="N3" s="55" t="s">
        <v>145</v>
      </c>
      <c r="O3" s="55" t="s">
        <v>333</v>
      </c>
      <c r="P3" s="55" t="s">
        <v>333</v>
      </c>
      <c r="Q3" s="55" t="s">
        <v>148</v>
      </c>
      <c r="R3" s="53"/>
      <c r="S3" s="53"/>
      <c r="T3" s="53"/>
      <c r="U3" s="53"/>
      <c r="V3" s="53"/>
      <c r="W3" s="53"/>
      <c r="X3" s="53"/>
      <c r="Y3" s="53"/>
      <c r="Z3" s="53"/>
      <c r="AA3" s="53"/>
      <c r="AB3" s="53"/>
      <c r="AC3" s="53"/>
      <c r="AD3"/>
      <c r="AG3" s="70" t="str">
        <f>IF(AN3&gt;0,CONCATENATE("qty ",AN3,") ",AO3,"   "),"")</f>
        <v/>
      </c>
      <c r="AK3" t="s">
        <v>211</v>
      </c>
      <c r="AL3" s="9">
        <f t="shared" ref="AL3:AL6" si="0">IF(B3="",0,1)</f>
        <v>0</v>
      </c>
      <c r="AM3" s="16" t="b">
        <f t="shared" ref="AM3:AM6" si="1">ISNUMBER(B3)</f>
        <v>0</v>
      </c>
      <c r="AN3" s="16">
        <f t="shared" ref="AN3:AN6" si="2">IF(AM3=TRUE,B3,AL3)</f>
        <v>0</v>
      </c>
      <c r="AO3" s="3" t="s">
        <v>1018</v>
      </c>
      <c r="AP3" s="24">
        <v>1366</v>
      </c>
      <c r="AR3" s="9">
        <f>IF(F3="",0,1)</f>
        <v>0</v>
      </c>
      <c r="AS3" s="55" t="s">
        <v>119</v>
      </c>
      <c r="AT3" s="35">
        <v>0</v>
      </c>
      <c r="AU3" s="35">
        <v>0</v>
      </c>
      <c r="AW3" s="296">
        <f t="shared" ref="AW3:AW40" si="3">IF(H3="",0,1)</f>
        <v>0</v>
      </c>
      <c r="AX3" s="52" t="s">
        <v>119</v>
      </c>
      <c r="BA3" s="4" t="s">
        <v>142</v>
      </c>
      <c r="BB3" s="4" t="s">
        <v>142</v>
      </c>
      <c r="BC3" s="4" t="s">
        <v>145</v>
      </c>
      <c r="BD3" s="142" t="s">
        <v>333</v>
      </c>
      <c r="BE3" s="142" t="s">
        <v>333</v>
      </c>
      <c r="BF3" s="142" t="s">
        <v>148</v>
      </c>
      <c r="BG3" s="4" t="s">
        <v>204</v>
      </c>
      <c r="BH3" s="35" t="s">
        <v>228</v>
      </c>
      <c r="BN3" s="33">
        <f t="shared" ref="BN3:BN16" si="4">AR3*AT3</f>
        <v>0</v>
      </c>
      <c r="BO3" s="33">
        <f>AR3*AU3</f>
        <v>0</v>
      </c>
      <c r="BP3" s="2">
        <f t="shared" ref="BP3:BP34" si="5">+$BN$72</f>
        <v>0</v>
      </c>
      <c r="BQ3">
        <f>+$BH$5</f>
        <v>0</v>
      </c>
      <c r="BR3">
        <f t="shared" ref="BR3:BR24" si="6">+$BB$33</f>
        <v>0</v>
      </c>
      <c r="BS3">
        <f t="shared" ref="BS3:BS24" si="7">+$BI$17</f>
        <v>0</v>
      </c>
      <c r="BT3">
        <f t="shared" ref="BT3:BT24" si="8">+$AW$68</f>
        <v>0</v>
      </c>
      <c r="BU3">
        <f>+$BA$12 + $BE$13</f>
        <v>0</v>
      </c>
      <c r="BV3">
        <f t="shared" ref="BV3:BV41" si="9">IF($AZ$16=1,$DN$11,0)</f>
        <v>0</v>
      </c>
      <c r="BW3" s="121">
        <f t="shared" ref="BW3:BW34" si="10">$AZ$51</f>
        <v>0</v>
      </c>
      <c r="BX3" s="323">
        <f t="shared" ref="BX3:BX24" si="11">$AT$75</f>
        <v>0</v>
      </c>
      <c r="BY3">
        <f>SUM(BP3:BX3)</f>
        <v>0</v>
      </c>
      <c r="CA3" s="107" t="s">
        <v>407</v>
      </c>
      <c r="CB3" s="107"/>
      <c r="CD3" s="129" t="s">
        <v>423</v>
      </c>
      <c r="CE3" s="130"/>
      <c r="CG3" s="118" t="s">
        <v>405</v>
      </c>
      <c r="CH3" s="119"/>
      <c r="CJ3" s="118" t="s">
        <v>442</v>
      </c>
      <c r="CK3" s="119"/>
      <c r="CM3" s="118" t="s">
        <v>462</v>
      </c>
      <c r="CN3" s="119"/>
      <c r="CO3" s="121"/>
      <c r="CP3" s="118" t="s">
        <v>474</v>
      </c>
      <c r="CQ3" s="119"/>
      <c r="CS3" s="118" t="s">
        <v>1159</v>
      </c>
      <c r="CT3" s="119"/>
      <c r="CV3" s="3" t="s">
        <v>1018</v>
      </c>
      <c r="CW3">
        <f t="shared" ref="CW3:CW6" si="12">AL3</f>
        <v>0</v>
      </c>
      <c r="CX3" t="s">
        <v>1019</v>
      </c>
      <c r="CY3" t="e">
        <f t="shared" ref="CY3:CY35" si="13">VLOOKUP(1,CW3:CX3,2,FALSE)</f>
        <v>#N/A</v>
      </c>
      <c r="CZ3" t="e">
        <f t="shared" ref="CZ3:CZ24" si="14">VLOOKUP(1,$AZ$20:$BE$32,6,FALSE)</f>
        <v>#N/A</v>
      </c>
      <c r="DA3" t="e">
        <f t="shared" ref="DA3:DA34" si="15">LEFT(VLOOKUP(1,$AR$3:$AS$56,2,FALSE),2)</f>
        <v>#N/A</v>
      </c>
      <c r="DB3" t="e">
        <f t="shared" ref="DB3:DB24" si="16">IF($BA$5=1,"",VLOOKUP(1,$CX$74:$CY$75,2,FALSE))</f>
        <v>#N/A</v>
      </c>
      <c r="DC3" t="str">
        <f t="shared" ref="DC3:DC34" si="17">IF($AZ$16=1,"B Cstm  "," Cstm  "  )</f>
        <v xml:space="preserve"> Cstm  </v>
      </c>
      <c r="DD3" t="e">
        <f t="shared" ref="DD3:DD34" si="18">CONCATENATE(CY3,CZ3,DA3,DB3,DC3)</f>
        <v>#N/A</v>
      </c>
      <c r="DE3" t="b">
        <f>ISERROR(DD3)</f>
        <v>1</v>
      </c>
      <c r="DF3" s="161" t="str">
        <f>IF(DE3=FALSE,DD3,"")</f>
        <v/>
      </c>
      <c r="DK3" t="s">
        <v>660</v>
      </c>
      <c r="DM3" t="s">
        <v>661</v>
      </c>
      <c r="DO3" t="s">
        <v>659</v>
      </c>
      <c r="ED3" s="390" t="str">
        <f>DH24</f>
        <v/>
      </c>
      <c r="EE3" s="390"/>
      <c r="EF3" s="390"/>
      <c r="EG3" s="390"/>
      <c r="EH3" s="390"/>
      <c r="EJ3" t="s">
        <v>398</v>
      </c>
    </row>
    <row r="4" spans="1:140" ht="15" customHeight="1" x14ac:dyDescent="0.3">
      <c r="A4" s="391"/>
      <c r="B4" s="232"/>
      <c r="C4" s="74" t="s">
        <v>43</v>
      </c>
      <c r="D4" s="75"/>
      <c r="E4" s="75"/>
      <c r="F4" s="95"/>
      <c r="G4" s="350" t="s">
        <v>131</v>
      </c>
      <c r="H4" s="339"/>
      <c r="I4" s="51"/>
      <c r="J4" s="117" t="s">
        <v>459</v>
      </c>
      <c r="K4" s="61" t="s">
        <v>42</v>
      </c>
      <c r="L4" s="99"/>
      <c r="M4" s="84"/>
      <c r="N4" s="84"/>
      <c r="O4" s="115"/>
      <c r="P4" s="116"/>
      <c r="Q4" s="116"/>
      <c r="R4" s="53"/>
      <c r="S4" s="53"/>
      <c r="T4" s="53"/>
      <c r="U4" s="53"/>
      <c r="V4" s="53"/>
      <c r="W4" s="53"/>
      <c r="X4" s="53"/>
      <c r="Y4" s="53"/>
      <c r="Z4" s="53"/>
      <c r="AA4" s="53"/>
      <c r="AB4" s="53"/>
      <c r="AC4" s="53"/>
      <c r="AD4"/>
      <c r="AG4" s="70" t="str">
        <f>IF(AN4&gt;0,CONCATENATE("qty ",AN4,") ",AO4,"   "),"")</f>
        <v/>
      </c>
      <c r="AK4" t="s">
        <v>211</v>
      </c>
      <c r="AL4" s="9">
        <f t="shared" si="0"/>
        <v>0</v>
      </c>
      <c r="AM4" s="16" t="b">
        <f t="shared" si="1"/>
        <v>0</v>
      </c>
      <c r="AN4" s="16">
        <f t="shared" si="2"/>
        <v>0</v>
      </c>
      <c r="AO4" s="3" t="s">
        <v>334</v>
      </c>
      <c r="AP4" s="24">
        <v>1366</v>
      </c>
      <c r="AR4" s="9">
        <f t="shared" ref="AR4:AR56" si="19">IF(F4="",0,1)</f>
        <v>0</v>
      </c>
      <c r="AS4" s="350" t="s">
        <v>131</v>
      </c>
      <c r="AT4" s="35">
        <v>0</v>
      </c>
      <c r="AU4" s="35">
        <v>0</v>
      </c>
      <c r="AW4" s="296">
        <f t="shared" si="3"/>
        <v>0</v>
      </c>
      <c r="AX4" s="370" t="s">
        <v>131</v>
      </c>
      <c r="AZ4" s="10" t="s">
        <v>42</v>
      </c>
      <c r="BA4" s="9">
        <f>IF(L4="",0,1)</f>
        <v>0</v>
      </c>
      <c r="BB4" s="85"/>
      <c r="BC4" s="85"/>
      <c r="BD4" s="9">
        <f>IF(O4="",0,1)</f>
        <v>0</v>
      </c>
      <c r="BE4" s="9">
        <f>IF(P4="",0,1)</f>
        <v>0</v>
      </c>
      <c r="BF4" s="9">
        <f>IF(Q4="",0,1)</f>
        <v>0</v>
      </c>
      <c r="BG4" s="9">
        <f>SUM(BA4:BF4)</f>
        <v>0</v>
      </c>
      <c r="BH4" s="39">
        <f>(BF4*DN6)+(BA4*DN7)</f>
        <v>0</v>
      </c>
      <c r="BN4" s="33">
        <f t="shared" si="4"/>
        <v>0</v>
      </c>
      <c r="BO4" s="33">
        <f>AR4*AU4</f>
        <v>0</v>
      </c>
      <c r="BP4" s="2">
        <f t="shared" si="5"/>
        <v>0</v>
      </c>
      <c r="BQ4">
        <f t="shared" ref="BQ4:BQ24" si="20">+$BH$5</f>
        <v>0</v>
      </c>
      <c r="BR4">
        <f t="shared" si="6"/>
        <v>0</v>
      </c>
      <c r="BS4">
        <f t="shared" si="7"/>
        <v>0</v>
      </c>
      <c r="BT4">
        <f t="shared" si="8"/>
        <v>0</v>
      </c>
      <c r="BU4">
        <f>+$BA$12 + $BE$13</f>
        <v>0</v>
      </c>
      <c r="BV4">
        <f t="shared" si="9"/>
        <v>0</v>
      </c>
      <c r="BW4" s="121">
        <f t="shared" si="10"/>
        <v>0</v>
      </c>
      <c r="BX4" s="323">
        <f t="shared" si="11"/>
        <v>0</v>
      </c>
      <c r="BY4">
        <f t="shared" ref="BY4:BY67" si="21">SUM(BP4:BX4)</f>
        <v>0</v>
      </c>
      <c r="CA4" s="38"/>
      <c r="CB4" s="38"/>
      <c r="CD4" s="131" t="s">
        <v>424</v>
      </c>
      <c r="CE4" s="132"/>
      <c r="CG4" s="120" t="s">
        <v>1170</v>
      </c>
      <c r="CH4" s="122"/>
      <c r="CJ4" s="120"/>
      <c r="CK4" s="122"/>
      <c r="CM4" s="120"/>
      <c r="CN4" s="122"/>
      <c r="CO4" s="121"/>
      <c r="CP4" s="120"/>
      <c r="CQ4" s="122"/>
      <c r="CS4" s="120">
        <f t="shared" ref="CS4:CS6" si="22">+AL3</f>
        <v>0</v>
      </c>
      <c r="CT4" s="122" t="s">
        <v>1018</v>
      </c>
      <c r="CV4" s="3" t="s">
        <v>334</v>
      </c>
      <c r="CW4">
        <f t="shared" si="12"/>
        <v>0</v>
      </c>
      <c r="CX4" t="s">
        <v>512</v>
      </c>
      <c r="CY4" t="e">
        <f t="shared" si="13"/>
        <v>#N/A</v>
      </c>
      <c r="CZ4" t="e">
        <f t="shared" si="14"/>
        <v>#N/A</v>
      </c>
      <c r="DA4" t="e">
        <f t="shared" si="15"/>
        <v>#N/A</v>
      </c>
      <c r="DB4" t="e">
        <f t="shared" si="16"/>
        <v>#N/A</v>
      </c>
      <c r="DC4" t="str">
        <f t="shared" si="17"/>
        <v xml:space="preserve"> Cstm  </v>
      </c>
      <c r="DD4" t="e">
        <f t="shared" si="18"/>
        <v>#N/A</v>
      </c>
      <c r="DE4" t="b">
        <f>ISERROR(DD4)</f>
        <v>1</v>
      </c>
      <c r="DF4" s="161" t="str">
        <f>IF(DE4=FALSE,DD4,"")</f>
        <v/>
      </c>
      <c r="DK4" s="217" t="s">
        <v>882</v>
      </c>
      <c r="DM4" t="s">
        <v>648</v>
      </c>
      <c r="DN4" s="39">
        <v>30</v>
      </c>
      <c r="DO4" s="218"/>
      <c r="ED4" s="89" t="s">
        <v>0</v>
      </c>
      <c r="EE4" s="3" t="s">
        <v>495</v>
      </c>
      <c r="EF4" s="3"/>
      <c r="EG4" s="3"/>
      <c r="EH4" s="3"/>
      <c r="EJ4" t="s">
        <v>398</v>
      </c>
    </row>
    <row r="5" spans="1:140" ht="15" thickBot="1" x14ac:dyDescent="0.35">
      <c r="A5" s="391"/>
      <c r="B5" s="232"/>
      <c r="C5" s="74" t="s">
        <v>44</v>
      </c>
      <c r="D5" s="75"/>
      <c r="E5" s="75"/>
      <c r="F5" s="95"/>
      <c r="G5" s="55" t="s">
        <v>124</v>
      </c>
      <c r="H5" s="339"/>
      <c r="I5" s="51"/>
      <c r="J5" s="117" t="s">
        <v>459</v>
      </c>
      <c r="K5" s="61" t="s">
        <v>140</v>
      </c>
      <c r="L5" s="99"/>
      <c r="M5" s="99"/>
      <c r="N5" s="99"/>
      <c r="O5" s="83"/>
      <c r="P5" s="83"/>
      <c r="Q5" s="53"/>
      <c r="R5" s="53"/>
      <c r="S5" s="53"/>
      <c r="T5" s="53"/>
      <c r="U5" s="53"/>
      <c r="V5" s="53"/>
      <c r="W5" s="53"/>
      <c r="X5" s="53"/>
      <c r="Y5" s="53"/>
      <c r="Z5" s="53"/>
      <c r="AA5" s="53"/>
      <c r="AB5" s="53"/>
      <c r="AC5" s="53"/>
      <c r="AD5"/>
      <c r="AG5" s="70" t="str">
        <f>IF(AN5&gt;0,CONCATENATE("qty ",AN5,") ",AO5,"   "),"")</f>
        <v/>
      </c>
      <c r="AK5" t="s">
        <v>211</v>
      </c>
      <c r="AL5" s="9">
        <f t="shared" si="0"/>
        <v>0</v>
      </c>
      <c r="AM5" s="16" t="b">
        <f t="shared" si="1"/>
        <v>0</v>
      </c>
      <c r="AN5" s="16">
        <f t="shared" si="2"/>
        <v>0</v>
      </c>
      <c r="AO5" s="3" t="s">
        <v>335</v>
      </c>
      <c r="AP5" s="24">
        <v>1366</v>
      </c>
      <c r="AR5" s="9">
        <f t="shared" si="19"/>
        <v>0</v>
      </c>
      <c r="AS5" s="55" t="s">
        <v>124</v>
      </c>
      <c r="AT5" s="35">
        <v>0</v>
      </c>
      <c r="AU5" s="35">
        <v>0</v>
      </c>
      <c r="AW5" s="296">
        <f t="shared" si="3"/>
        <v>0</v>
      </c>
      <c r="AX5" s="52" t="s">
        <v>124</v>
      </c>
      <c r="AZ5" s="10" t="s">
        <v>140</v>
      </c>
      <c r="BA5" s="9">
        <f>IF(L5="",0,1)</f>
        <v>0</v>
      </c>
      <c r="BB5" s="9">
        <f t="shared" ref="BB5:BC7" si="23">IF(M5="",0,1)</f>
        <v>0</v>
      </c>
      <c r="BC5" s="9">
        <f t="shared" si="23"/>
        <v>0</v>
      </c>
      <c r="BD5" s="85"/>
      <c r="BE5" s="85"/>
      <c r="BF5" s="85"/>
      <c r="BG5" s="9">
        <f>SUM(BA5:BF5)</f>
        <v>0</v>
      </c>
      <c r="BH5" s="39">
        <f>(BB5*DN4)+(BC5*DN5)</f>
        <v>0</v>
      </c>
      <c r="BN5" s="33">
        <f t="shared" si="4"/>
        <v>0</v>
      </c>
      <c r="BO5" s="33">
        <f t="shared" ref="BO5:BO43" si="24">AR5*AU5</f>
        <v>0</v>
      </c>
      <c r="BP5" s="2">
        <f t="shared" si="5"/>
        <v>0</v>
      </c>
      <c r="BQ5">
        <f t="shared" si="20"/>
        <v>0</v>
      </c>
      <c r="BR5">
        <f t="shared" si="6"/>
        <v>0</v>
      </c>
      <c r="BS5">
        <f t="shared" si="7"/>
        <v>0</v>
      </c>
      <c r="BT5">
        <f t="shared" si="8"/>
        <v>0</v>
      </c>
      <c r="BU5">
        <f>+$BA$12 + $BE$13</f>
        <v>0</v>
      </c>
      <c r="BV5">
        <f t="shared" si="9"/>
        <v>0</v>
      </c>
      <c r="BW5" s="121">
        <f t="shared" si="10"/>
        <v>0</v>
      </c>
      <c r="BX5" s="323">
        <f t="shared" si="11"/>
        <v>0</v>
      </c>
      <c r="BY5">
        <f t="shared" si="21"/>
        <v>0</v>
      </c>
      <c r="CA5" s="108" t="s">
        <v>408</v>
      </c>
      <c r="CB5" s="108"/>
      <c r="CD5" s="133">
        <f t="shared" ref="CD5:CD7" si="25">+AL3</f>
        <v>0</v>
      </c>
      <c r="CE5" s="134" t="s">
        <v>1018</v>
      </c>
      <c r="CG5" s="327">
        <f>+AR3+AR25</f>
        <v>0</v>
      </c>
      <c r="CH5" s="122" t="s">
        <v>634</v>
      </c>
      <c r="CJ5" s="120" t="s">
        <v>445</v>
      </c>
      <c r="CK5" s="122"/>
      <c r="CM5" s="120"/>
      <c r="CN5" s="122" t="s">
        <v>463</v>
      </c>
      <c r="CO5" s="121"/>
      <c r="CP5" s="120">
        <f>+BE42</f>
        <v>0</v>
      </c>
      <c r="CQ5" s="122" t="s">
        <v>475</v>
      </c>
      <c r="CS5" s="120">
        <f t="shared" si="22"/>
        <v>0</v>
      </c>
      <c r="CT5" s="138" t="s">
        <v>334</v>
      </c>
      <c r="CV5" s="3" t="s">
        <v>335</v>
      </c>
      <c r="CW5">
        <f t="shared" si="12"/>
        <v>0</v>
      </c>
      <c r="CX5" t="s">
        <v>513</v>
      </c>
      <c r="CY5" t="e">
        <f t="shared" si="13"/>
        <v>#N/A</v>
      </c>
      <c r="CZ5" t="e">
        <f t="shared" si="14"/>
        <v>#N/A</v>
      </c>
      <c r="DA5" t="e">
        <f t="shared" si="15"/>
        <v>#N/A</v>
      </c>
      <c r="DB5" t="e">
        <f t="shared" si="16"/>
        <v>#N/A</v>
      </c>
      <c r="DC5" t="str">
        <f t="shared" si="17"/>
        <v xml:space="preserve"> Cstm  </v>
      </c>
      <c r="DD5" t="e">
        <f t="shared" si="18"/>
        <v>#N/A</v>
      </c>
      <c r="DE5" t="b">
        <f t="shared" ref="DE5:DE34" si="26">ISERROR(DD5)</f>
        <v>1</v>
      </c>
      <c r="DF5" s="162" t="str">
        <f t="shared" ref="DF5:DF34" si="27">IF(DE5=FALSE,DD5,"")</f>
        <v/>
      </c>
      <c r="DK5" s="217" t="s">
        <v>883</v>
      </c>
      <c r="DL5" s="38"/>
      <c r="DM5" s="38" t="s">
        <v>649</v>
      </c>
      <c r="DN5" s="342">
        <v>40</v>
      </c>
      <c r="DO5" s="218"/>
      <c r="ED5" s="89" t="s">
        <v>1</v>
      </c>
      <c r="EE5" s="3" t="s">
        <v>385</v>
      </c>
      <c r="EF5" s="3"/>
      <c r="EG5" s="10"/>
      <c r="EH5" s="186"/>
      <c r="EJ5" t="s">
        <v>398</v>
      </c>
    </row>
    <row r="6" spans="1:140" ht="15.6" x14ac:dyDescent="0.3">
      <c r="A6" s="391"/>
      <c r="B6" s="232"/>
      <c r="C6" s="153" t="s">
        <v>1107</v>
      </c>
      <c r="D6" s="75"/>
      <c r="E6" s="75"/>
      <c r="F6" s="95"/>
      <c r="G6" s="55" t="s">
        <v>125</v>
      </c>
      <c r="H6" s="339"/>
      <c r="I6" s="51"/>
      <c r="J6" s="117"/>
      <c r="K6" s="61" t="s">
        <v>41</v>
      </c>
      <c r="L6" s="99"/>
      <c r="M6" s="99"/>
      <c r="N6" s="99"/>
      <c r="O6" s="270"/>
      <c r="P6" s="269"/>
      <c r="Q6" s="269"/>
      <c r="R6" s="53"/>
      <c r="S6" s="53"/>
      <c r="T6" s="53"/>
      <c r="U6" s="53"/>
      <c r="V6" s="53"/>
      <c r="W6" s="53"/>
      <c r="X6" s="53"/>
      <c r="Y6" s="53"/>
      <c r="Z6" s="53"/>
      <c r="AA6" s="53"/>
      <c r="AB6" s="53"/>
      <c r="AC6" s="53"/>
      <c r="AD6"/>
      <c r="AG6" s="70" t="str">
        <f>IF(AN6&gt;0,CONCATENATE("qty ",AN6,") ",AO6,"   "),"")</f>
        <v/>
      </c>
      <c r="AK6" t="s">
        <v>211</v>
      </c>
      <c r="AL6" s="9">
        <f t="shared" si="0"/>
        <v>0</v>
      </c>
      <c r="AM6" s="16" t="b">
        <f t="shared" si="1"/>
        <v>0</v>
      </c>
      <c r="AN6" s="16">
        <f t="shared" si="2"/>
        <v>0</v>
      </c>
      <c r="AO6" s="181" t="s">
        <v>1113</v>
      </c>
      <c r="AP6" s="24">
        <v>1458</v>
      </c>
      <c r="AR6" s="9">
        <f t="shared" si="19"/>
        <v>0</v>
      </c>
      <c r="AS6" s="55" t="s">
        <v>125</v>
      </c>
      <c r="AT6" s="35">
        <v>0</v>
      </c>
      <c r="AU6" s="35">
        <v>0</v>
      </c>
      <c r="AW6" s="296">
        <f t="shared" si="3"/>
        <v>0</v>
      </c>
      <c r="AX6" s="52" t="s">
        <v>125</v>
      </c>
      <c r="AZ6" s="10" t="s">
        <v>41</v>
      </c>
      <c r="BA6" s="9">
        <f>IF(L6="",0,1)</f>
        <v>0</v>
      </c>
      <c r="BB6" s="9">
        <f t="shared" si="23"/>
        <v>0</v>
      </c>
      <c r="BC6" s="9">
        <f t="shared" si="23"/>
        <v>0</v>
      </c>
      <c r="BD6" s="86"/>
      <c r="BE6" s="86"/>
      <c r="BF6" s="86"/>
      <c r="BG6" s="9">
        <f>SUM(BA6:BF6)</f>
        <v>0</v>
      </c>
      <c r="BH6" s="39">
        <f>(BB6*DN4)+(BC6*DN5)</f>
        <v>0</v>
      </c>
      <c r="BN6" s="33">
        <f t="shared" si="4"/>
        <v>0</v>
      </c>
      <c r="BO6" s="33">
        <f t="shared" si="24"/>
        <v>0</v>
      </c>
      <c r="BP6" s="2">
        <f t="shared" si="5"/>
        <v>0</v>
      </c>
      <c r="BQ6">
        <f t="shared" si="20"/>
        <v>0</v>
      </c>
      <c r="BR6">
        <f t="shared" si="6"/>
        <v>0</v>
      </c>
      <c r="BS6">
        <f t="shared" si="7"/>
        <v>0</v>
      </c>
      <c r="BT6">
        <f t="shared" si="8"/>
        <v>0</v>
      </c>
      <c r="BU6">
        <f>+$BA$12 + $BE$13</f>
        <v>0</v>
      </c>
      <c r="BV6">
        <f t="shared" si="9"/>
        <v>0</v>
      </c>
      <c r="BW6" s="121">
        <f t="shared" si="10"/>
        <v>0</v>
      </c>
      <c r="BX6" s="323">
        <f t="shared" si="11"/>
        <v>0</v>
      </c>
      <c r="BY6">
        <f t="shared" si="21"/>
        <v>0</v>
      </c>
      <c r="CA6" s="107">
        <f>+AZ22</f>
        <v>0</v>
      </c>
      <c r="CB6" s="109" t="s">
        <v>154</v>
      </c>
      <c r="CD6" s="133">
        <f t="shared" si="25"/>
        <v>0</v>
      </c>
      <c r="CE6" s="134" t="s">
        <v>334</v>
      </c>
      <c r="CG6" s="327">
        <f>SUM(AR30:AR43)</f>
        <v>0</v>
      </c>
      <c r="CH6" s="137" t="s">
        <v>1251</v>
      </c>
      <c r="CJ6" s="120">
        <f>+BA4</f>
        <v>0</v>
      </c>
      <c r="CK6" s="122" t="s">
        <v>448</v>
      </c>
      <c r="CM6" s="120">
        <f>+BH25</f>
        <v>0</v>
      </c>
      <c r="CN6" s="138" t="s">
        <v>175</v>
      </c>
      <c r="CO6" s="121"/>
      <c r="CP6" s="120"/>
      <c r="CQ6" s="122"/>
      <c r="CS6" s="120">
        <f t="shared" si="22"/>
        <v>0</v>
      </c>
      <c r="CT6" s="138" t="s">
        <v>335</v>
      </c>
      <c r="CV6" s="181" t="s">
        <v>1113</v>
      </c>
      <c r="CW6" s="70">
        <f t="shared" si="12"/>
        <v>0</v>
      </c>
      <c r="CX6" s="70" t="s">
        <v>1121</v>
      </c>
      <c r="CY6" s="70" t="e">
        <f t="shared" si="13"/>
        <v>#N/A</v>
      </c>
      <c r="CZ6" s="70" t="e">
        <f t="shared" si="14"/>
        <v>#N/A</v>
      </c>
      <c r="DA6" s="70" t="e">
        <f t="shared" si="15"/>
        <v>#N/A</v>
      </c>
      <c r="DB6" s="70" t="e">
        <f t="shared" si="16"/>
        <v>#N/A</v>
      </c>
      <c r="DC6" s="70" t="str">
        <f t="shared" si="17"/>
        <v xml:space="preserve"> Cstm  </v>
      </c>
      <c r="DD6" s="70" t="e">
        <f t="shared" si="18"/>
        <v>#N/A</v>
      </c>
      <c r="DE6" s="70" t="b">
        <f t="shared" si="26"/>
        <v>1</v>
      </c>
      <c r="DF6" s="162" t="str">
        <f t="shared" si="27"/>
        <v/>
      </c>
      <c r="DG6" s="70"/>
      <c r="DH6" s="70"/>
      <c r="DI6" s="70"/>
      <c r="DK6" s="217" t="s">
        <v>884</v>
      </c>
      <c r="DL6" s="38"/>
      <c r="DM6" s="38" t="s">
        <v>647</v>
      </c>
      <c r="DN6" s="342">
        <v>45</v>
      </c>
      <c r="DO6" s="218"/>
      <c r="ED6" s="88" t="s">
        <v>2</v>
      </c>
      <c r="EE6" s="387" t="str">
        <f>AG76</f>
        <v/>
      </c>
      <c r="EF6" s="388"/>
      <c r="EG6" s="388"/>
      <c r="EH6" s="388"/>
      <c r="EJ6" t="s">
        <v>398</v>
      </c>
    </row>
    <row r="7" spans="1:140" x14ac:dyDescent="0.3">
      <c r="A7" s="391"/>
      <c r="B7" s="232"/>
      <c r="C7" s="74" t="s">
        <v>45</v>
      </c>
      <c r="D7" s="75"/>
      <c r="E7" s="75"/>
      <c r="F7" s="95"/>
      <c r="G7" s="55" t="s">
        <v>102</v>
      </c>
      <c r="H7" s="339"/>
      <c r="I7" s="51"/>
      <c r="J7" s="117" t="s">
        <v>459</v>
      </c>
      <c r="K7" s="61" t="s">
        <v>40</v>
      </c>
      <c r="L7" s="99"/>
      <c r="M7" s="99"/>
      <c r="N7" s="99"/>
      <c r="O7" s="83"/>
      <c r="P7" s="83"/>
      <c r="Q7" s="83"/>
      <c r="R7" s="53"/>
      <c r="S7" s="53"/>
      <c r="T7" s="53"/>
      <c r="U7" s="53"/>
      <c r="V7" s="53"/>
      <c r="W7" s="53"/>
      <c r="X7" s="53"/>
      <c r="Y7" s="53"/>
      <c r="Z7" s="53"/>
      <c r="AA7" s="53"/>
      <c r="AB7" s="53"/>
      <c r="AC7" s="53"/>
      <c r="AD7"/>
      <c r="AG7" s="70" t="str">
        <f t="shared" ref="AG7:AG70" si="28">IF(AN7&gt;0,CONCATENATE("qty ",AN7,") ",AO7,"   "),"")</f>
        <v/>
      </c>
      <c r="AK7" t="s">
        <v>211</v>
      </c>
      <c r="AL7" s="9">
        <f t="shared" ref="AL7:AL38" si="29">IF(B7="",0,1)</f>
        <v>0</v>
      </c>
      <c r="AM7" s="16" t="b">
        <f t="shared" ref="AM7:AM69" si="30">ISNUMBER(B7)</f>
        <v>0</v>
      </c>
      <c r="AN7" s="16">
        <f t="shared" ref="AN7:AN38" si="31">IF(AM7=TRUE,B7,AL7)</f>
        <v>0</v>
      </c>
      <c r="AO7" s="3" t="s">
        <v>336</v>
      </c>
      <c r="AP7" s="24">
        <v>1458</v>
      </c>
      <c r="AR7" s="382">
        <f t="shared" si="19"/>
        <v>0</v>
      </c>
      <c r="AS7" s="55" t="s">
        <v>102</v>
      </c>
      <c r="AT7" s="35">
        <v>0</v>
      </c>
      <c r="AU7" s="35">
        <v>0</v>
      </c>
      <c r="AW7" s="296">
        <f t="shared" si="3"/>
        <v>0</v>
      </c>
      <c r="AX7" s="52" t="s">
        <v>102</v>
      </c>
      <c r="AZ7" s="10" t="s">
        <v>40</v>
      </c>
      <c r="BA7" s="9">
        <f>IF(L7="",0,1)</f>
        <v>0</v>
      </c>
      <c r="BB7" s="9">
        <f t="shared" si="23"/>
        <v>0</v>
      </c>
      <c r="BC7" s="9">
        <f t="shared" si="23"/>
        <v>0</v>
      </c>
      <c r="BD7" s="86"/>
      <c r="BE7" s="86"/>
      <c r="BF7" s="86"/>
      <c r="BG7" s="9">
        <f>SUM(BA7:BF7)</f>
        <v>0</v>
      </c>
      <c r="BH7" s="39">
        <f>(BB7*DN4)+(BC7*DN5)</f>
        <v>0</v>
      </c>
      <c r="BN7" s="33">
        <f t="shared" si="4"/>
        <v>0</v>
      </c>
      <c r="BO7" s="33">
        <f t="shared" si="24"/>
        <v>0</v>
      </c>
      <c r="BP7" s="2">
        <f t="shared" si="5"/>
        <v>0</v>
      </c>
      <c r="BQ7">
        <f t="shared" si="20"/>
        <v>0</v>
      </c>
      <c r="BR7">
        <f t="shared" si="6"/>
        <v>0</v>
      </c>
      <c r="BS7">
        <f t="shared" si="7"/>
        <v>0</v>
      </c>
      <c r="BT7">
        <f t="shared" si="8"/>
        <v>0</v>
      </c>
      <c r="BU7">
        <f t="shared" ref="BU7:BU23" si="32">+$BA$12 + $BE$13</f>
        <v>0</v>
      </c>
      <c r="BV7">
        <f t="shared" si="9"/>
        <v>0</v>
      </c>
      <c r="BW7" s="121">
        <f t="shared" si="10"/>
        <v>0</v>
      </c>
      <c r="BX7" s="323">
        <f t="shared" si="11"/>
        <v>0</v>
      </c>
      <c r="BY7">
        <f t="shared" si="21"/>
        <v>0</v>
      </c>
      <c r="CA7" s="107">
        <f>+AZ23</f>
        <v>0</v>
      </c>
      <c r="CB7" s="109" t="s">
        <v>413</v>
      </c>
      <c r="CD7" s="133">
        <f t="shared" si="25"/>
        <v>0</v>
      </c>
      <c r="CE7" s="134" t="s">
        <v>335</v>
      </c>
      <c r="CG7" s="327">
        <f>SUM(AR44:AR50)</f>
        <v>0</v>
      </c>
      <c r="CH7" s="137" t="s">
        <v>1252</v>
      </c>
      <c r="CJ7" s="120"/>
      <c r="CK7" s="138"/>
      <c r="CM7" s="120">
        <f>+BH27</f>
        <v>0</v>
      </c>
      <c r="CN7" s="138" t="s">
        <v>177</v>
      </c>
      <c r="CO7" s="121"/>
      <c r="CP7" s="120">
        <f>+AL61</f>
        <v>0</v>
      </c>
      <c r="CQ7" s="138" t="s">
        <v>375</v>
      </c>
      <c r="CS7" s="120">
        <f>AL6+AL7</f>
        <v>0</v>
      </c>
      <c r="CT7" s="138" t="s">
        <v>1186</v>
      </c>
      <c r="CV7" s="3" t="s">
        <v>336</v>
      </c>
      <c r="CW7">
        <f t="shared" ref="CW7:CW38" si="33">AL7</f>
        <v>0</v>
      </c>
      <c r="CX7" t="s">
        <v>514</v>
      </c>
      <c r="CY7" t="e">
        <f t="shared" si="13"/>
        <v>#N/A</v>
      </c>
      <c r="CZ7" t="e">
        <f t="shared" si="14"/>
        <v>#N/A</v>
      </c>
      <c r="DA7" t="e">
        <f t="shared" si="15"/>
        <v>#N/A</v>
      </c>
      <c r="DB7" t="e">
        <f t="shared" si="16"/>
        <v>#N/A</v>
      </c>
      <c r="DC7" t="str">
        <f t="shared" si="17"/>
        <v xml:space="preserve"> Cstm  </v>
      </c>
      <c r="DD7" t="e">
        <f t="shared" si="18"/>
        <v>#N/A</v>
      </c>
      <c r="DE7" t="b">
        <f t="shared" si="26"/>
        <v>1</v>
      </c>
      <c r="DF7" s="162" t="str">
        <f t="shared" si="27"/>
        <v/>
      </c>
      <c r="DK7" s="217" t="s">
        <v>885</v>
      </c>
      <c r="DL7" s="38"/>
      <c r="DM7" s="38" t="s">
        <v>650</v>
      </c>
      <c r="DN7" s="342">
        <v>0</v>
      </c>
      <c r="DO7" s="218"/>
      <c r="ED7" s="89" t="s">
        <v>3</v>
      </c>
      <c r="EE7" s="3" t="e">
        <f>VLOOKUP(1,AR3:AS56,2,FALSE)</f>
        <v>#N/A</v>
      </c>
      <c r="EF7" s="3"/>
      <c r="EG7" s="89" t="s">
        <v>11</v>
      </c>
      <c r="EH7" s="3" t="str">
        <f>IF(AV64=1,"There","Not There")</f>
        <v>Not There</v>
      </c>
      <c r="EJ7" t="s">
        <v>398</v>
      </c>
    </row>
    <row r="8" spans="1:140" x14ac:dyDescent="0.3">
      <c r="A8" s="391"/>
      <c r="B8" s="232"/>
      <c r="C8" s="74" t="s">
        <v>46</v>
      </c>
      <c r="D8" s="75"/>
      <c r="E8" s="75"/>
      <c r="F8" s="95"/>
      <c r="G8" s="55" t="s">
        <v>117</v>
      </c>
      <c r="H8" s="339"/>
      <c r="I8" s="51"/>
      <c r="J8" s="51"/>
      <c r="K8" s="3"/>
      <c r="L8" s="51"/>
      <c r="M8" s="51"/>
      <c r="N8" s="51"/>
      <c r="O8" s="53"/>
      <c r="P8" s="53"/>
      <c r="Q8" s="53"/>
      <c r="R8" s="53"/>
      <c r="S8" s="53"/>
      <c r="T8" s="53"/>
      <c r="U8" s="53"/>
      <c r="V8" s="53"/>
      <c r="W8" s="53"/>
      <c r="X8" s="53"/>
      <c r="Y8" s="53"/>
      <c r="Z8" s="53"/>
      <c r="AA8" s="53"/>
      <c r="AB8" s="53"/>
      <c r="AC8" s="53"/>
      <c r="AD8"/>
      <c r="AG8" s="70" t="str">
        <f t="shared" si="28"/>
        <v/>
      </c>
      <c r="AK8" t="s">
        <v>211</v>
      </c>
      <c r="AL8" s="9">
        <f t="shared" si="29"/>
        <v>0</v>
      </c>
      <c r="AM8" s="16" t="b">
        <f t="shared" si="30"/>
        <v>0</v>
      </c>
      <c r="AN8" s="16">
        <f t="shared" si="31"/>
        <v>0</v>
      </c>
      <c r="AO8" s="3" t="s">
        <v>337</v>
      </c>
      <c r="AP8" s="24">
        <v>1458</v>
      </c>
      <c r="AR8" s="13">
        <f t="shared" si="19"/>
        <v>0</v>
      </c>
      <c r="AS8" s="55" t="s">
        <v>117</v>
      </c>
      <c r="AT8" s="35">
        <v>200</v>
      </c>
      <c r="AU8" s="35">
        <v>200</v>
      </c>
      <c r="AW8" s="296">
        <f t="shared" si="3"/>
        <v>0</v>
      </c>
      <c r="AX8" s="52" t="s">
        <v>117</v>
      </c>
      <c r="BA8" t="s">
        <v>388</v>
      </c>
      <c r="BB8" t="s">
        <v>389</v>
      </c>
      <c r="BC8" t="s">
        <v>390</v>
      </c>
      <c r="BD8" t="s">
        <v>391</v>
      </c>
      <c r="BE8" t="s">
        <v>392</v>
      </c>
      <c r="BF8" t="s">
        <v>393</v>
      </c>
      <c r="BN8" s="33">
        <f t="shared" si="4"/>
        <v>0</v>
      </c>
      <c r="BO8" s="33">
        <f t="shared" si="24"/>
        <v>0</v>
      </c>
      <c r="BP8" s="2">
        <f t="shared" si="5"/>
        <v>0</v>
      </c>
      <c r="BQ8">
        <f t="shared" si="20"/>
        <v>0</v>
      </c>
      <c r="BR8">
        <f t="shared" si="6"/>
        <v>0</v>
      </c>
      <c r="BS8">
        <f t="shared" si="7"/>
        <v>0</v>
      </c>
      <c r="BT8">
        <f t="shared" si="8"/>
        <v>0</v>
      </c>
      <c r="BU8">
        <f t="shared" si="32"/>
        <v>0</v>
      </c>
      <c r="BV8">
        <f t="shared" si="9"/>
        <v>0</v>
      </c>
      <c r="BW8" s="121">
        <f t="shared" si="10"/>
        <v>0</v>
      </c>
      <c r="BX8" s="323">
        <f t="shared" si="11"/>
        <v>0</v>
      </c>
      <c r="BY8">
        <f t="shared" si="21"/>
        <v>0</v>
      </c>
      <c r="CA8" s="107">
        <f>+AZ32</f>
        <v>0</v>
      </c>
      <c r="CB8" s="109" t="s">
        <v>160</v>
      </c>
      <c r="CD8" s="133">
        <f>+AL6+ AL7</f>
        <v>0</v>
      </c>
      <c r="CE8" s="134" t="s">
        <v>1168</v>
      </c>
      <c r="CG8" s="327"/>
      <c r="CH8" s="137"/>
      <c r="CJ8" s="120">
        <f>+AL62</f>
        <v>0</v>
      </c>
      <c r="CK8" s="138" t="s">
        <v>376</v>
      </c>
      <c r="CM8" s="120">
        <f>SUM(CM6:CM7)</f>
        <v>0</v>
      </c>
      <c r="CN8" s="122" t="s">
        <v>464</v>
      </c>
      <c r="CO8" s="121"/>
      <c r="CP8" s="120">
        <f>+AL62</f>
        <v>0</v>
      </c>
      <c r="CQ8" s="138" t="s">
        <v>376</v>
      </c>
      <c r="CS8" s="120">
        <f>+AL8</f>
        <v>0</v>
      </c>
      <c r="CT8" s="138" t="s">
        <v>337</v>
      </c>
      <c r="CV8" s="3" t="s">
        <v>337</v>
      </c>
      <c r="CW8">
        <f t="shared" si="33"/>
        <v>0</v>
      </c>
      <c r="CX8" t="s">
        <v>515</v>
      </c>
      <c r="CY8" t="e">
        <f t="shared" si="13"/>
        <v>#N/A</v>
      </c>
      <c r="CZ8" t="e">
        <f t="shared" si="14"/>
        <v>#N/A</v>
      </c>
      <c r="DA8" t="e">
        <f t="shared" si="15"/>
        <v>#N/A</v>
      </c>
      <c r="DB8" t="e">
        <f t="shared" si="16"/>
        <v>#N/A</v>
      </c>
      <c r="DC8" t="str">
        <f t="shared" si="17"/>
        <v xml:space="preserve"> Cstm  </v>
      </c>
      <c r="DD8" t="e">
        <f t="shared" si="18"/>
        <v>#N/A</v>
      </c>
      <c r="DE8" t="b">
        <f t="shared" si="26"/>
        <v>1</v>
      </c>
      <c r="DF8" s="162" t="str">
        <f t="shared" si="27"/>
        <v/>
      </c>
      <c r="DK8" s="217"/>
      <c r="DL8" s="38"/>
      <c r="DM8" s="38"/>
      <c r="DN8" s="342"/>
      <c r="DO8" s="218"/>
      <c r="ED8" s="89" t="s">
        <v>4</v>
      </c>
      <c r="EE8" s="3" t="e">
        <f>VLOOKUP(1,AR59:AS73,2,FALSE)</f>
        <v>#N/A</v>
      </c>
      <c r="EF8" s="3"/>
      <c r="EG8" s="89" t="s">
        <v>12</v>
      </c>
      <c r="EH8" s="3" t="str">
        <f>IF(AV65=1,"There","Not There")</f>
        <v>Not There</v>
      </c>
      <c r="EJ8" t="s">
        <v>398</v>
      </c>
    </row>
    <row r="9" spans="1:140" x14ac:dyDescent="0.3">
      <c r="A9" s="391"/>
      <c r="B9" s="232"/>
      <c r="C9" s="74" t="s">
        <v>47</v>
      </c>
      <c r="D9" s="75"/>
      <c r="E9" s="75"/>
      <c r="F9" s="95"/>
      <c r="G9" s="55" t="s">
        <v>104</v>
      </c>
      <c r="H9" s="339"/>
      <c r="I9" s="51"/>
      <c r="J9" s="51"/>
      <c r="K9" s="60" t="s">
        <v>179</v>
      </c>
      <c r="L9" s="53"/>
      <c r="M9" s="112" t="s">
        <v>1195</v>
      </c>
      <c r="N9" s="51"/>
      <c r="O9" s="93" t="s">
        <v>396</v>
      </c>
      <c r="P9" s="53"/>
      <c r="Q9" s="53"/>
      <c r="R9" s="53"/>
      <c r="S9" s="53"/>
      <c r="T9" s="53"/>
      <c r="U9" s="53"/>
      <c r="V9" s="53"/>
      <c r="W9" s="53"/>
      <c r="X9" s="53"/>
      <c r="Y9" s="53"/>
      <c r="Z9" s="53"/>
      <c r="AA9" s="53"/>
      <c r="AB9" s="53"/>
      <c r="AC9" s="53"/>
      <c r="AD9"/>
      <c r="AG9" s="70" t="str">
        <f t="shared" si="28"/>
        <v/>
      </c>
      <c r="AK9" t="s">
        <v>211</v>
      </c>
      <c r="AL9" s="9">
        <f t="shared" si="29"/>
        <v>0</v>
      </c>
      <c r="AM9" s="16" t="b">
        <f t="shared" si="30"/>
        <v>0</v>
      </c>
      <c r="AN9" s="16">
        <f t="shared" si="31"/>
        <v>0</v>
      </c>
      <c r="AO9" s="3" t="s">
        <v>338</v>
      </c>
      <c r="AP9" s="24">
        <v>1458</v>
      </c>
      <c r="AR9" s="13">
        <f t="shared" si="19"/>
        <v>0</v>
      </c>
      <c r="AS9" s="55" t="s">
        <v>104</v>
      </c>
      <c r="AT9" s="35">
        <v>0</v>
      </c>
      <c r="AU9" s="35">
        <v>0</v>
      </c>
      <c r="AW9" s="300">
        <f t="shared" si="3"/>
        <v>0</v>
      </c>
      <c r="AX9" s="52" t="s">
        <v>104</v>
      </c>
      <c r="AZ9" s="14" t="s">
        <v>179</v>
      </c>
      <c r="BD9" s="69" t="s">
        <v>396</v>
      </c>
      <c r="BN9" s="33">
        <f t="shared" si="4"/>
        <v>0</v>
      </c>
      <c r="BO9" s="33">
        <f t="shared" si="24"/>
        <v>0</v>
      </c>
      <c r="BP9" s="2">
        <f t="shared" si="5"/>
        <v>0</v>
      </c>
      <c r="BQ9">
        <f t="shared" si="20"/>
        <v>0</v>
      </c>
      <c r="BR9">
        <f t="shared" si="6"/>
        <v>0</v>
      </c>
      <c r="BS9">
        <f t="shared" si="7"/>
        <v>0</v>
      </c>
      <c r="BT9">
        <f t="shared" si="8"/>
        <v>0</v>
      </c>
      <c r="BU9">
        <f t="shared" si="32"/>
        <v>0</v>
      </c>
      <c r="BV9">
        <f t="shared" si="9"/>
        <v>0</v>
      </c>
      <c r="BW9" s="121">
        <f t="shared" si="10"/>
        <v>0</v>
      </c>
      <c r="BX9" s="323">
        <f t="shared" si="11"/>
        <v>0</v>
      </c>
      <c r="BY9">
        <f t="shared" si="21"/>
        <v>0</v>
      </c>
      <c r="CA9" s="107">
        <f>SUM(CA6:CA8)</f>
        <v>0</v>
      </c>
      <c r="CB9" s="109" t="s">
        <v>409</v>
      </c>
      <c r="CD9" s="133">
        <f>+AL8</f>
        <v>0</v>
      </c>
      <c r="CE9" s="134" t="s">
        <v>337</v>
      </c>
      <c r="CG9" s="327"/>
      <c r="CH9" s="137"/>
      <c r="CJ9" s="120">
        <f>+AL64</f>
        <v>0</v>
      </c>
      <c r="CK9" s="138" t="s">
        <v>378</v>
      </c>
      <c r="CM9" s="120"/>
      <c r="CN9" s="122"/>
      <c r="CO9" s="121"/>
      <c r="CP9" s="120">
        <f>+AL63</f>
        <v>0</v>
      </c>
      <c r="CQ9" s="138" t="s">
        <v>377</v>
      </c>
      <c r="CS9" s="120">
        <f>+AL9</f>
        <v>0</v>
      </c>
      <c r="CT9" s="138" t="s">
        <v>338</v>
      </c>
      <c r="CV9" s="3" t="s">
        <v>338</v>
      </c>
      <c r="CW9">
        <f t="shared" si="33"/>
        <v>0</v>
      </c>
      <c r="CX9" t="s">
        <v>517</v>
      </c>
      <c r="CY9" t="e">
        <f t="shared" si="13"/>
        <v>#N/A</v>
      </c>
      <c r="CZ9" t="e">
        <f t="shared" si="14"/>
        <v>#N/A</v>
      </c>
      <c r="DA9" t="e">
        <f t="shared" si="15"/>
        <v>#N/A</v>
      </c>
      <c r="DB9" t="e">
        <f t="shared" si="16"/>
        <v>#N/A</v>
      </c>
      <c r="DC9" t="str">
        <f t="shared" si="17"/>
        <v xml:space="preserve"> Cstm  </v>
      </c>
      <c r="DD9" t="e">
        <f t="shared" si="18"/>
        <v>#N/A</v>
      </c>
      <c r="DE9" t="b">
        <f t="shared" si="26"/>
        <v>1</v>
      </c>
      <c r="DF9" s="162" t="str">
        <f t="shared" si="27"/>
        <v/>
      </c>
      <c r="DK9" s="217" t="s">
        <v>886</v>
      </c>
      <c r="DL9" s="38"/>
      <c r="DM9" s="38" t="s">
        <v>651</v>
      </c>
      <c r="DN9" s="342">
        <v>40</v>
      </c>
      <c r="DO9" s="218"/>
      <c r="ED9" s="89" t="s">
        <v>394</v>
      </c>
      <c r="EE9" s="3" t="str">
        <f>IFERROR(VLOOKUP(1,AW3:AX40,2,FALSE),"")</f>
        <v/>
      </c>
      <c r="EF9" s="3"/>
      <c r="EG9" s="89" t="s">
        <v>13</v>
      </c>
      <c r="EH9" s="3" t="str">
        <f>IF(AV66=1,"There","Not There")</f>
        <v>Not There</v>
      </c>
      <c r="EJ9" t="s">
        <v>398</v>
      </c>
    </row>
    <row r="10" spans="1:140" x14ac:dyDescent="0.3">
      <c r="A10" s="391"/>
      <c r="B10" s="232"/>
      <c r="C10" s="153" t="s">
        <v>1108</v>
      </c>
      <c r="D10" s="75"/>
      <c r="E10" s="75"/>
      <c r="F10" s="95"/>
      <c r="G10" s="55" t="s">
        <v>103</v>
      </c>
      <c r="H10" s="339"/>
      <c r="I10" s="51"/>
      <c r="J10" s="51"/>
      <c r="K10" s="101"/>
      <c r="L10" s="54" t="s">
        <v>180</v>
      </c>
      <c r="M10" s="51"/>
      <c r="N10" s="51"/>
      <c r="O10" s="99"/>
      <c r="P10" s="111" t="s">
        <v>395</v>
      </c>
      <c r="Q10" s="53"/>
      <c r="R10" s="53"/>
      <c r="S10" s="53"/>
      <c r="T10" s="53"/>
      <c r="U10" s="53"/>
      <c r="V10" s="53"/>
      <c r="W10" s="53"/>
      <c r="X10" s="53"/>
      <c r="Y10" s="53"/>
      <c r="Z10" s="53"/>
      <c r="AA10" s="53"/>
      <c r="AB10" s="53"/>
      <c r="AC10" s="53"/>
      <c r="AD10"/>
      <c r="AG10" s="70" t="str">
        <f t="shared" ref="AG10" si="34">IF(AN10&gt;0,CONCATENATE("qty ",AN10,") ",AO10,"   "),"")</f>
        <v/>
      </c>
      <c r="AK10" t="s">
        <v>211</v>
      </c>
      <c r="AL10" s="9">
        <f t="shared" si="29"/>
        <v>0</v>
      </c>
      <c r="AM10" s="16" t="b">
        <f t="shared" si="30"/>
        <v>0</v>
      </c>
      <c r="AN10" s="16">
        <f t="shared" si="31"/>
        <v>0</v>
      </c>
      <c r="AO10" s="181" t="s">
        <v>1114</v>
      </c>
      <c r="AP10" s="24">
        <v>1512</v>
      </c>
      <c r="AR10" s="13">
        <f t="shared" si="19"/>
        <v>0</v>
      </c>
      <c r="AS10" s="55" t="s">
        <v>103</v>
      </c>
      <c r="AT10" s="35">
        <v>0</v>
      </c>
      <c r="AU10" s="35">
        <v>0</v>
      </c>
      <c r="AW10" s="300">
        <f t="shared" si="3"/>
        <v>0</v>
      </c>
      <c r="AX10" s="52" t="s">
        <v>103</v>
      </c>
      <c r="AZ10" s="15">
        <f>IF(K10="",0,1)</f>
        <v>0</v>
      </c>
      <c r="BA10" s="39">
        <f>+AZ10*0</f>
        <v>0</v>
      </c>
      <c r="BB10" t="s">
        <v>180</v>
      </c>
      <c r="BD10" s="62">
        <f>IF(O10="",0,1)</f>
        <v>0</v>
      </c>
      <c r="BE10" s="39">
        <f>+BD10*DN10</f>
        <v>0</v>
      </c>
      <c r="BF10" s="51" t="s">
        <v>395</v>
      </c>
      <c r="BH10" s="4" t="s">
        <v>204</v>
      </c>
      <c r="BI10" s="35" t="s">
        <v>227</v>
      </c>
      <c r="BJ10" s="14" t="s">
        <v>169</v>
      </c>
      <c r="BN10" s="33">
        <f t="shared" si="4"/>
        <v>0</v>
      </c>
      <c r="BO10" s="33">
        <f t="shared" si="24"/>
        <v>0</v>
      </c>
      <c r="BP10" s="2">
        <f t="shared" si="5"/>
        <v>0</v>
      </c>
      <c r="BQ10">
        <f t="shared" si="20"/>
        <v>0</v>
      </c>
      <c r="BR10">
        <f t="shared" si="6"/>
        <v>0</v>
      </c>
      <c r="BS10">
        <f t="shared" si="7"/>
        <v>0</v>
      </c>
      <c r="BT10">
        <f t="shared" si="8"/>
        <v>0</v>
      </c>
      <c r="BU10">
        <f t="shared" si="32"/>
        <v>0</v>
      </c>
      <c r="BV10">
        <f t="shared" si="9"/>
        <v>0</v>
      </c>
      <c r="BW10" s="121">
        <f t="shared" si="10"/>
        <v>0</v>
      </c>
      <c r="BX10" s="323">
        <f t="shared" si="11"/>
        <v>0</v>
      </c>
      <c r="BY10">
        <f t="shared" si="21"/>
        <v>0</v>
      </c>
      <c r="CA10" s="107"/>
      <c r="CB10" s="109"/>
      <c r="CD10" s="133">
        <f>+AL9</f>
        <v>0</v>
      </c>
      <c r="CE10" s="134" t="s">
        <v>338</v>
      </c>
      <c r="CG10" s="327"/>
      <c r="CH10" s="137"/>
      <c r="CJ10" s="120">
        <f>+AL65</f>
        <v>0</v>
      </c>
      <c r="CK10" s="138" t="s">
        <v>379</v>
      </c>
      <c r="CM10" s="120">
        <f>+AL35+AL36</f>
        <v>0</v>
      </c>
      <c r="CN10" s="138" t="s">
        <v>1172</v>
      </c>
      <c r="CO10" s="121"/>
      <c r="CP10" s="120">
        <f>SUM(CP7:CP9)</f>
        <v>0</v>
      </c>
      <c r="CQ10" s="138" t="s">
        <v>469</v>
      </c>
      <c r="CS10" s="120">
        <f>SUM(CS4:CS9)</f>
        <v>0</v>
      </c>
      <c r="CT10" s="138" t="s">
        <v>449</v>
      </c>
      <c r="CV10" s="181" t="s">
        <v>1114</v>
      </c>
      <c r="CW10" s="70">
        <f t="shared" si="33"/>
        <v>0</v>
      </c>
      <c r="CX10" s="70" t="s">
        <v>1122</v>
      </c>
      <c r="CY10" s="70" t="e">
        <f t="shared" si="13"/>
        <v>#N/A</v>
      </c>
      <c r="CZ10" s="70" t="e">
        <f t="shared" si="14"/>
        <v>#N/A</v>
      </c>
      <c r="DA10" s="70" t="e">
        <f t="shared" si="15"/>
        <v>#N/A</v>
      </c>
      <c r="DB10" s="70" t="e">
        <f t="shared" si="16"/>
        <v>#N/A</v>
      </c>
      <c r="DC10" s="70" t="str">
        <f t="shared" si="17"/>
        <v xml:space="preserve"> Cstm  </v>
      </c>
      <c r="DD10" s="70" t="e">
        <f t="shared" ref="DD10" si="35">CONCATENATE(CY10,CZ10,DA10,DB10,DC10)</f>
        <v>#N/A</v>
      </c>
      <c r="DE10" s="70" t="b">
        <f t="shared" ref="DE10" si="36">ISERROR(DD10)</f>
        <v>1</v>
      </c>
      <c r="DF10" s="306" t="str">
        <f t="shared" ref="DF10" si="37">IF(DE10=FALSE,DD10,"")</f>
        <v/>
      </c>
      <c r="DG10" s="70"/>
      <c r="DH10" s="70"/>
      <c r="DI10" s="70"/>
      <c r="DK10" s="217"/>
      <c r="DL10" s="38"/>
      <c r="DM10" s="151" t="s">
        <v>395</v>
      </c>
      <c r="DN10" s="342">
        <v>20</v>
      </c>
      <c r="DO10" s="218"/>
      <c r="ED10" s="89" t="s">
        <v>6</v>
      </c>
      <c r="EE10" s="3" t="e">
        <f>HLOOKUP(1,BA5:BC8,4,FALSE)</f>
        <v>#N/A</v>
      </c>
      <c r="EF10" s="3"/>
      <c r="EG10" s="89" t="s">
        <v>14</v>
      </c>
      <c r="EH10" s="3" t="str">
        <f>IF(AV67=1,"There","Not There")</f>
        <v>Not There</v>
      </c>
      <c r="EJ10" t="s">
        <v>398</v>
      </c>
    </row>
    <row r="11" spans="1:140" ht="15" thickBot="1" x14ac:dyDescent="0.35">
      <c r="A11" s="391"/>
      <c r="B11" s="232"/>
      <c r="C11" s="74" t="s">
        <v>48</v>
      </c>
      <c r="D11" s="75"/>
      <c r="E11" s="75"/>
      <c r="F11" s="95"/>
      <c r="G11" s="350" t="s">
        <v>108</v>
      </c>
      <c r="H11" s="339"/>
      <c r="I11" s="51"/>
      <c r="J11" s="51"/>
      <c r="K11" s="101"/>
      <c r="L11" s="51" t="s">
        <v>181</v>
      </c>
      <c r="M11" s="51"/>
      <c r="N11" s="51"/>
      <c r="O11" s="99"/>
      <c r="P11" s="54" t="s">
        <v>397</v>
      </c>
      <c r="Q11" s="53"/>
      <c r="R11" s="53"/>
      <c r="S11" s="53"/>
      <c r="T11" s="53"/>
      <c r="U11" s="368"/>
      <c r="V11" s="53"/>
      <c r="W11" s="53"/>
      <c r="X11" s="53"/>
      <c r="Y11" s="53"/>
      <c r="Z11" s="53"/>
      <c r="AA11" s="53"/>
      <c r="AB11" s="53"/>
      <c r="AC11" s="53"/>
      <c r="AD11"/>
      <c r="AG11" s="70" t="str">
        <f t="shared" si="28"/>
        <v/>
      </c>
      <c r="AK11" t="s">
        <v>211</v>
      </c>
      <c r="AL11" s="9">
        <f t="shared" si="29"/>
        <v>0</v>
      </c>
      <c r="AM11" s="16" t="b">
        <f t="shared" si="30"/>
        <v>0</v>
      </c>
      <c r="AN11" s="16">
        <f t="shared" si="31"/>
        <v>0</v>
      </c>
      <c r="AO11" s="3" t="s">
        <v>339</v>
      </c>
      <c r="AP11" s="24">
        <v>1512</v>
      </c>
      <c r="AR11" s="382">
        <f t="shared" si="19"/>
        <v>0</v>
      </c>
      <c r="AS11" s="350" t="s">
        <v>108</v>
      </c>
      <c r="AT11" s="35">
        <v>0</v>
      </c>
      <c r="AU11" s="35">
        <v>0</v>
      </c>
      <c r="AW11" s="300">
        <f t="shared" si="3"/>
        <v>0</v>
      </c>
      <c r="AX11" s="370" t="s">
        <v>108</v>
      </c>
      <c r="AZ11" s="15">
        <f>IF(K11="",0,1)</f>
        <v>0</v>
      </c>
      <c r="BA11" s="39">
        <f>+AZ11*DN9</f>
        <v>0</v>
      </c>
      <c r="BB11" t="s">
        <v>181</v>
      </c>
      <c r="BD11" s="62">
        <f>IF(O11="",0,1)</f>
        <v>0</v>
      </c>
      <c r="BF11" s="51" t="s">
        <v>397</v>
      </c>
      <c r="BH11" s="9">
        <f t="shared" ref="BH11:BH16" si="38">IF(P15="",0,1)</f>
        <v>0</v>
      </c>
      <c r="BI11" s="43">
        <f>+BH11*0</f>
        <v>0</v>
      </c>
      <c r="BJ11" s="3" t="s">
        <v>163</v>
      </c>
      <c r="BN11" s="33">
        <f t="shared" si="4"/>
        <v>0</v>
      </c>
      <c r="BO11" s="33">
        <f t="shared" si="24"/>
        <v>0</v>
      </c>
      <c r="BP11" s="2">
        <f t="shared" si="5"/>
        <v>0</v>
      </c>
      <c r="BQ11">
        <f t="shared" si="20"/>
        <v>0</v>
      </c>
      <c r="BR11">
        <f t="shared" si="6"/>
        <v>0</v>
      </c>
      <c r="BS11">
        <f t="shared" si="7"/>
        <v>0</v>
      </c>
      <c r="BT11">
        <f t="shared" si="8"/>
        <v>0</v>
      </c>
      <c r="BU11">
        <f t="shared" si="32"/>
        <v>0</v>
      </c>
      <c r="BV11">
        <f t="shared" si="9"/>
        <v>0</v>
      </c>
      <c r="BW11" s="121">
        <f t="shared" si="10"/>
        <v>0</v>
      </c>
      <c r="BX11" s="323">
        <f t="shared" si="11"/>
        <v>0</v>
      </c>
      <c r="BY11">
        <f t="shared" si="21"/>
        <v>0</v>
      </c>
      <c r="CA11" s="108" t="s">
        <v>410</v>
      </c>
      <c r="CB11" s="110"/>
      <c r="CD11" s="133">
        <f>+AL25</f>
        <v>0</v>
      </c>
      <c r="CE11" s="134" t="s">
        <v>349</v>
      </c>
      <c r="CG11" s="327"/>
      <c r="CH11" s="137"/>
      <c r="CJ11" s="120">
        <f>+AL68</f>
        <v>0</v>
      </c>
      <c r="CK11" s="138" t="s">
        <v>382</v>
      </c>
      <c r="CM11" s="120">
        <f>+AL56</f>
        <v>0</v>
      </c>
      <c r="CN11" s="138" t="s">
        <v>374</v>
      </c>
      <c r="CO11" s="121"/>
      <c r="CP11" s="120"/>
      <c r="CQ11" s="138"/>
      <c r="CS11" s="120"/>
      <c r="CT11" s="122"/>
      <c r="CV11" s="3" t="s">
        <v>339</v>
      </c>
      <c r="CW11">
        <f t="shared" si="33"/>
        <v>0</v>
      </c>
      <c r="CX11" t="s">
        <v>516</v>
      </c>
      <c r="CY11" t="e">
        <f t="shared" si="13"/>
        <v>#N/A</v>
      </c>
      <c r="CZ11" t="e">
        <f t="shared" si="14"/>
        <v>#N/A</v>
      </c>
      <c r="DA11" t="e">
        <f t="shared" si="15"/>
        <v>#N/A</v>
      </c>
      <c r="DB11" t="e">
        <f t="shared" si="16"/>
        <v>#N/A</v>
      </c>
      <c r="DC11" t="str">
        <f t="shared" si="17"/>
        <v xml:space="preserve"> Cstm  </v>
      </c>
      <c r="DD11" t="e">
        <f t="shared" si="18"/>
        <v>#N/A</v>
      </c>
      <c r="DE11" t="b">
        <f t="shared" si="26"/>
        <v>1</v>
      </c>
      <c r="DF11" s="162" t="str">
        <f t="shared" si="27"/>
        <v/>
      </c>
      <c r="DK11" s="217" t="s">
        <v>887</v>
      </c>
      <c r="DL11" s="38"/>
      <c r="DM11" s="38" t="s">
        <v>654</v>
      </c>
      <c r="DN11" s="342">
        <v>60</v>
      </c>
      <c r="DO11" s="218"/>
      <c r="ED11" s="89" t="s">
        <v>149</v>
      </c>
      <c r="EE11" s="3" t="e">
        <f>VLOOKUP(1,AZ15:BB16,3,FALSE)</f>
        <v>#N/A</v>
      </c>
      <c r="EF11" s="3"/>
      <c r="EG11" s="89" t="s">
        <v>386</v>
      </c>
      <c r="EH11" s="3" t="e">
        <f>VLOOKUP(1,BD10:BF12,3,FALSE)</f>
        <v>#N/A</v>
      </c>
      <c r="EJ11" t="s">
        <v>398</v>
      </c>
    </row>
    <row r="12" spans="1:140" x14ac:dyDescent="0.3">
      <c r="A12" s="391"/>
      <c r="B12" s="232"/>
      <c r="C12" s="74" t="s">
        <v>49</v>
      </c>
      <c r="D12" s="75"/>
      <c r="E12" s="75"/>
      <c r="F12" s="95"/>
      <c r="G12" s="350" t="s">
        <v>1245</v>
      </c>
      <c r="H12" s="339"/>
      <c r="I12" s="51"/>
      <c r="J12" s="51"/>
      <c r="K12" s="112"/>
      <c r="L12" s="51"/>
      <c r="M12" s="51"/>
      <c r="N12" s="51"/>
      <c r="O12" s="101"/>
      <c r="P12" s="111" t="s">
        <v>1187</v>
      </c>
      <c r="Q12" s="53"/>
      <c r="R12" s="53"/>
      <c r="S12" s="53"/>
      <c r="T12" s="53"/>
      <c r="U12" s="368"/>
      <c r="V12" s="53"/>
      <c r="W12" s="53"/>
      <c r="X12" s="53"/>
      <c r="Y12" s="53"/>
      <c r="Z12" s="53"/>
      <c r="AA12" s="53"/>
      <c r="AB12" s="53"/>
      <c r="AC12" s="53"/>
      <c r="AD12"/>
      <c r="AG12" s="70" t="str">
        <f t="shared" si="28"/>
        <v/>
      </c>
      <c r="AK12" t="s">
        <v>211</v>
      </c>
      <c r="AL12" s="9">
        <f t="shared" si="29"/>
        <v>0</v>
      </c>
      <c r="AM12" s="16" t="b">
        <f t="shared" si="30"/>
        <v>0</v>
      </c>
      <c r="AN12" s="16">
        <f t="shared" si="31"/>
        <v>0</v>
      </c>
      <c r="AO12" s="3" t="s">
        <v>340</v>
      </c>
      <c r="AP12" s="24">
        <v>1512</v>
      </c>
      <c r="AR12" s="13">
        <f t="shared" si="19"/>
        <v>0</v>
      </c>
      <c r="AS12" s="350" t="s">
        <v>1245</v>
      </c>
      <c r="AT12" s="35">
        <v>0</v>
      </c>
      <c r="AU12" s="35">
        <v>0</v>
      </c>
      <c r="AW12" s="300">
        <f t="shared" si="3"/>
        <v>0</v>
      </c>
      <c r="AX12" s="370" t="s">
        <v>1245</v>
      </c>
      <c r="AY12" s="10" t="s">
        <v>204</v>
      </c>
      <c r="AZ12">
        <f>SUM(AZ10:AZ11)</f>
        <v>0</v>
      </c>
      <c r="BA12" s="44">
        <f>SUM(BA10:BA11)</f>
        <v>0</v>
      </c>
      <c r="BB12" s="36" t="s">
        <v>227</v>
      </c>
      <c r="BD12" s="62">
        <f>IF(O12="",0,1)</f>
        <v>0</v>
      </c>
      <c r="BF12" s="3" t="s">
        <v>1187</v>
      </c>
      <c r="BH12" s="9">
        <f t="shared" si="38"/>
        <v>0</v>
      </c>
      <c r="BI12" s="43">
        <f>+BH12*0</f>
        <v>0</v>
      </c>
      <c r="BJ12" s="3" t="s">
        <v>164</v>
      </c>
      <c r="BN12" s="33">
        <f t="shared" si="4"/>
        <v>0</v>
      </c>
      <c r="BO12" s="33">
        <f t="shared" si="24"/>
        <v>0</v>
      </c>
      <c r="BP12" s="2">
        <f t="shared" si="5"/>
        <v>0</v>
      </c>
      <c r="BQ12">
        <f t="shared" si="20"/>
        <v>0</v>
      </c>
      <c r="BR12">
        <f t="shared" si="6"/>
        <v>0</v>
      </c>
      <c r="BS12">
        <f t="shared" si="7"/>
        <v>0</v>
      </c>
      <c r="BT12">
        <f t="shared" si="8"/>
        <v>0</v>
      </c>
      <c r="BU12">
        <f t="shared" si="32"/>
        <v>0</v>
      </c>
      <c r="BV12">
        <f t="shared" si="9"/>
        <v>0</v>
      </c>
      <c r="BW12" s="121">
        <f t="shared" si="10"/>
        <v>0</v>
      </c>
      <c r="BX12" s="323">
        <f t="shared" si="11"/>
        <v>0</v>
      </c>
      <c r="BY12">
        <f t="shared" si="21"/>
        <v>0</v>
      </c>
      <c r="CA12" s="107">
        <f>+BH24</f>
        <v>0</v>
      </c>
      <c r="CB12" s="109" t="s">
        <v>174</v>
      </c>
      <c r="CD12" s="133">
        <f>+AL26</f>
        <v>0</v>
      </c>
      <c r="CE12" s="134" t="s">
        <v>350</v>
      </c>
      <c r="CG12" s="327"/>
      <c r="CH12" s="137"/>
      <c r="CJ12" s="128">
        <f>SUM(CJ8:CJ11)</f>
        <v>0</v>
      </c>
      <c r="CK12" s="138" t="s">
        <v>443</v>
      </c>
      <c r="CM12" s="120">
        <f>+AL57</f>
        <v>0</v>
      </c>
      <c r="CN12" s="138" t="s">
        <v>352</v>
      </c>
      <c r="CO12" s="121"/>
      <c r="CP12" s="123">
        <f>+CP10*CP5</f>
        <v>0</v>
      </c>
      <c r="CQ12" s="139" t="s">
        <v>444</v>
      </c>
      <c r="CS12" s="120">
        <f>+BH13</f>
        <v>0</v>
      </c>
      <c r="CT12" s="138" t="s">
        <v>165</v>
      </c>
      <c r="CV12" s="3" t="s">
        <v>340</v>
      </c>
      <c r="CW12">
        <f t="shared" si="33"/>
        <v>0</v>
      </c>
      <c r="CX12" t="s">
        <v>518</v>
      </c>
      <c r="CY12" t="e">
        <f t="shared" si="13"/>
        <v>#N/A</v>
      </c>
      <c r="CZ12" t="e">
        <f t="shared" si="14"/>
        <v>#N/A</v>
      </c>
      <c r="DA12" t="e">
        <f t="shared" si="15"/>
        <v>#N/A</v>
      </c>
      <c r="DB12" t="e">
        <f t="shared" si="16"/>
        <v>#N/A</v>
      </c>
      <c r="DC12" t="str">
        <f t="shared" si="17"/>
        <v xml:space="preserve"> Cstm  </v>
      </c>
      <c r="DD12" t="e">
        <f t="shared" si="18"/>
        <v>#N/A</v>
      </c>
      <c r="DE12" t="b">
        <f t="shared" si="26"/>
        <v>1</v>
      </c>
      <c r="DF12" s="162" t="str">
        <f t="shared" si="27"/>
        <v/>
      </c>
      <c r="DK12" s="217" t="s">
        <v>888</v>
      </c>
      <c r="DL12" s="38"/>
      <c r="DM12" s="38" t="s">
        <v>1206</v>
      </c>
      <c r="DN12" s="342">
        <v>60</v>
      </c>
      <c r="DO12" s="218"/>
      <c r="ED12" s="89" t="s">
        <v>7</v>
      </c>
      <c r="EE12" s="3" t="e">
        <f>VLOOKUP(1,AZ20:BC32,4,FALSE)</f>
        <v>#N/A</v>
      </c>
      <c r="EF12" s="3"/>
      <c r="EG12" s="89" t="s">
        <v>39</v>
      </c>
      <c r="EH12" s="3" t="e">
        <f>VLOOKUP(1,AZ10:BB11,3,FALSE)</f>
        <v>#N/A</v>
      </c>
      <c r="EJ12" t="s">
        <v>398</v>
      </c>
    </row>
    <row r="13" spans="1:140" x14ac:dyDescent="0.3">
      <c r="A13" s="391"/>
      <c r="B13" s="232"/>
      <c r="C13" s="74" t="s">
        <v>50</v>
      </c>
      <c r="D13" s="75"/>
      <c r="E13" s="75"/>
      <c r="F13" s="95"/>
      <c r="G13" s="350" t="s">
        <v>1246</v>
      </c>
      <c r="H13" s="339"/>
      <c r="I13" s="51"/>
      <c r="J13" s="112" t="s">
        <v>460</v>
      </c>
      <c r="K13" s="51"/>
      <c r="L13" s="51"/>
      <c r="M13" s="51"/>
      <c r="N13" s="51"/>
      <c r="O13" s="53"/>
      <c r="P13" s="114" t="s">
        <v>487</v>
      </c>
      <c r="Q13" s="53"/>
      <c r="R13" s="53"/>
      <c r="S13" s="53"/>
      <c r="T13" s="53"/>
      <c r="U13" s="368"/>
      <c r="V13" s="53"/>
      <c r="W13" s="53"/>
      <c r="X13" s="53"/>
      <c r="Y13" s="53"/>
      <c r="Z13" s="53"/>
      <c r="AA13" s="53"/>
      <c r="AB13" s="53"/>
      <c r="AC13" s="53"/>
      <c r="AD13"/>
      <c r="AG13" s="70" t="str">
        <f t="shared" si="28"/>
        <v/>
      </c>
      <c r="AK13" t="s">
        <v>211</v>
      </c>
      <c r="AL13" s="9">
        <f t="shared" si="29"/>
        <v>0</v>
      </c>
      <c r="AM13" s="16" t="b">
        <f t="shared" si="30"/>
        <v>0</v>
      </c>
      <c r="AN13" s="16">
        <f t="shared" si="31"/>
        <v>0</v>
      </c>
      <c r="AO13" s="3" t="s">
        <v>341</v>
      </c>
      <c r="AP13" s="24">
        <v>1512</v>
      </c>
      <c r="AR13" s="382">
        <f t="shared" si="19"/>
        <v>0</v>
      </c>
      <c r="AS13" s="350" t="s">
        <v>1246</v>
      </c>
      <c r="AT13" s="35">
        <v>0</v>
      </c>
      <c r="AU13" s="35">
        <v>0</v>
      </c>
      <c r="AW13" s="300">
        <f t="shared" si="3"/>
        <v>0</v>
      </c>
      <c r="AX13" s="370" t="s">
        <v>1246</v>
      </c>
      <c r="BD13">
        <f>SUM(BD10:BD12)</f>
        <v>0</v>
      </c>
      <c r="BE13" s="44">
        <f>SUM(BE10:BE12)</f>
        <v>0</v>
      </c>
      <c r="BF13" s="36" t="s">
        <v>227</v>
      </c>
      <c r="BH13" s="9">
        <f t="shared" si="38"/>
        <v>0</v>
      </c>
      <c r="BI13" s="43">
        <f>+BH13*DN13</f>
        <v>0</v>
      </c>
      <c r="BJ13" s="3" t="s">
        <v>165</v>
      </c>
      <c r="BN13" s="33">
        <f t="shared" si="4"/>
        <v>0</v>
      </c>
      <c r="BO13" s="33">
        <f t="shared" si="24"/>
        <v>0</v>
      </c>
      <c r="BP13" s="2">
        <f t="shared" si="5"/>
        <v>0</v>
      </c>
      <c r="BQ13">
        <f t="shared" si="20"/>
        <v>0</v>
      </c>
      <c r="BR13">
        <f t="shared" si="6"/>
        <v>0</v>
      </c>
      <c r="BS13">
        <f t="shared" si="7"/>
        <v>0</v>
      </c>
      <c r="BT13">
        <f t="shared" si="8"/>
        <v>0</v>
      </c>
      <c r="BU13">
        <f t="shared" si="32"/>
        <v>0</v>
      </c>
      <c r="BV13">
        <f t="shared" si="9"/>
        <v>0</v>
      </c>
      <c r="BW13" s="121">
        <f t="shared" si="10"/>
        <v>0</v>
      </c>
      <c r="BX13" s="323">
        <f t="shared" si="11"/>
        <v>0</v>
      </c>
      <c r="BY13">
        <f t="shared" si="21"/>
        <v>0</v>
      </c>
      <c r="CA13" s="107">
        <f>+BH25</f>
        <v>0</v>
      </c>
      <c r="CB13" s="109" t="s">
        <v>175</v>
      </c>
      <c r="CD13" s="133">
        <f>+AL27</f>
        <v>0</v>
      </c>
      <c r="CE13" s="134" t="s">
        <v>351</v>
      </c>
      <c r="CG13" s="327"/>
      <c r="CH13" s="137"/>
      <c r="CJ13" s="123">
        <f>+CJ12*CJ6</f>
        <v>0</v>
      </c>
      <c r="CK13" s="139" t="s">
        <v>444</v>
      </c>
      <c r="CM13" s="120">
        <f>+AL58</f>
        <v>0</v>
      </c>
      <c r="CN13" s="138" t="s">
        <v>353</v>
      </c>
      <c r="CO13" s="121"/>
      <c r="CP13" s="125"/>
      <c r="CQ13" s="143"/>
      <c r="CS13" s="120">
        <f>+BH14</f>
        <v>0</v>
      </c>
      <c r="CT13" s="138" t="s">
        <v>166</v>
      </c>
      <c r="CV13" s="3" t="s">
        <v>341</v>
      </c>
      <c r="CW13">
        <f t="shared" si="33"/>
        <v>0</v>
      </c>
      <c r="CX13" t="s">
        <v>519</v>
      </c>
      <c r="CY13" t="e">
        <f t="shared" si="13"/>
        <v>#N/A</v>
      </c>
      <c r="CZ13" t="e">
        <f t="shared" si="14"/>
        <v>#N/A</v>
      </c>
      <c r="DA13" t="e">
        <f t="shared" si="15"/>
        <v>#N/A</v>
      </c>
      <c r="DB13" t="e">
        <f t="shared" si="16"/>
        <v>#N/A</v>
      </c>
      <c r="DC13" t="str">
        <f t="shared" si="17"/>
        <v xml:space="preserve"> Cstm  </v>
      </c>
      <c r="DD13" t="e">
        <f t="shared" si="18"/>
        <v>#N/A</v>
      </c>
      <c r="DE13" t="b">
        <f t="shared" si="26"/>
        <v>1</v>
      </c>
      <c r="DF13" s="162" t="str">
        <f t="shared" si="27"/>
        <v/>
      </c>
      <c r="DK13" s="217" t="s">
        <v>1141</v>
      </c>
      <c r="DL13" s="38"/>
      <c r="DM13" s="38" t="s">
        <v>1136</v>
      </c>
      <c r="DN13" s="342">
        <v>30</v>
      </c>
      <c r="DO13" s="218"/>
      <c r="ED13" s="89" t="s">
        <v>34</v>
      </c>
      <c r="EE13" s="3" t="str">
        <f>IFERROR(VLOOKUP(1,AZ34:BC35,4,FALSE),"")</f>
        <v/>
      </c>
      <c r="EF13" s="3"/>
      <c r="EG13" s="89" t="s">
        <v>23</v>
      </c>
      <c r="EH13" s="3" t="str">
        <f>VLOOKUP(1,AZ56:BA56,2,FALSE)</f>
        <v>PS3 Clear</v>
      </c>
      <c r="EJ13" t="s">
        <v>398</v>
      </c>
    </row>
    <row r="14" spans="1:140" x14ac:dyDescent="0.3">
      <c r="A14" s="391"/>
      <c r="B14" s="232"/>
      <c r="C14" s="74" t="s">
        <v>51</v>
      </c>
      <c r="D14" s="75"/>
      <c r="E14" s="75"/>
      <c r="F14" s="95"/>
      <c r="G14" s="350" t="s">
        <v>1015</v>
      </c>
      <c r="H14" s="339"/>
      <c r="I14" s="51"/>
      <c r="J14" s="60" t="s">
        <v>149</v>
      </c>
      <c r="K14" s="51"/>
      <c r="L14" s="170"/>
      <c r="M14" s="57" t="s">
        <v>1173</v>
      </c>
      <c r="N14" s="111"/>
      <c r="O14" s="53"/>
      <c r="P14" s="60" t="s">
        <v>169</v>
      </c>
      <c r="Q14" s="269"/>
      <c r="R14" s="269"/>
      <c r="S14" s="53"/>
      <c r="T14" s="53"/>
      <c r="U14" s="368"/>
      <c r="V14" s="53"/>
      <c r="W14" s="53"/>
      <c r="X14" s="53"/>
      <c r="Y14" s="53"/>
      <c r="Z14" s="53"/>
      <c r="AA14" s="53"/>
      <c r="AB14" s="53"/>
      <c r="AC14" s="53"/>
      <c r="AD14"/>
      <c r="AG14" s="70" t="str">
        <f t="shared" si="28"/>
        <v/>
      </c>
      <c r="AK14" t="s">
        <v>211</v>
      </c>
      <c r="AL14" s="9">
        <f t="shared" si="29"/>
        <v>0</v>
      </c>
      <c r="AM14" s="16" t="b">
        <f t="shared" si="30"/>
        <v>0</v>
      </c>
      <c r="AN14" s="16">
        <f t="shared" si="31"/>
        <v>0</v>
      </c>
      <c r="AO14" s="3" t="s">
        <v>342</v>
      </c>
      <c r="AP14" s="24">
        <v>1512</v>
      </c>
      <c r="AR14" s="382">
        <f t="shared" si="19"/>
        <v>0</v>
      </c>
      <c r="AS14" s="350" t="s">
        <v>1015</v>
      </c>
      <c r="AT14" s="35">
        <v>0</v>
      </c>
      <c r="AU14" s="35">
        <v>0</v>
      </c>
      <c r="AW14" s="300">
        <f t="shared" si="3"/>
        <v>0</v>
      </c>
      <c r="AX14" s="370" t="s">
        <v>1015</v>
      </c>
      <c r="AZ14" s="14" t="s">
        <v>149</v>
      </c>
      <c r="BA14" s="3"/>
      <c r="BC14" s="315" t="s">
        <v>564</v>
      </c>
      <c r="BD14" s="69" t="s">
        <v>1173</v>
      </c>
      <c r="BH14" s="9">
        <f t="shared" si="38"/>
        <v>0</v>
      </c>
      <c r="BI14" s="43">
        <f>+BH14*DN14</f>
        <v>0</v>
      </c>
      <c r="BJ14" s="3" t="s">
        <v>166</v>
      </c>
      <c r="BN14" s="33">
        <f t="shared" si="4"/>
        <v>0</v>
      </c>
      <c r="BO14" s="33">
        <f t="shared" si="24"/>
        <v>0</v>
      </c>
      <c r="BP14" s="2">
        <f t="shared" si="5"/>
        <v>0</v>
      </c>
      <c r="BQ14">
        <f t="shared" si="20"/>
        <v>0</v>
      </c>
      <c r="BR14">
        <f t="shared" si="6"/>
        <v>0</v>
      </c>
      <c r="BS14">
        <f t="shared" si="7"/>
        <v>0</v>
      </c>
      <c r="BT14">
        <f t="shared" si="8"/>
        <v>0</v>
      </c>
      <c r="BU14">
        <f t="shared" si="32"/>
        <v>0</v>
      </c>
      <c r="BV14">
        <f t="shared" si="9"/>
        <v>0</v>
      </c>
      <c r="BW14" s="121">
        <f t="shared" si="10"/>
        <v>0</v>
      </c>
      <c r="BX14" s="323">
        <f t="shared" si="11"/>
        <v>0</v>
      </c>
      <c r="BY14">
        <f t="shared" si="21"/>
        <v>0</v>
      </c>
      <c r="CA14" s="107">
        <f>+BH28</f>
        <v>0</v>
      </c>
      <c r="CB14" s="109" t="s">
        <v>178</v>
      </c>
      <c r="CD14" s="133">
        <f>+AL28</f>
        <v>0</v>
      </c>
      <c r="CE14" s="134" t="s">
        <v>352</v>
      </c>
      <c r="CG14" s="327"/>
      <c r="CH14" s="138"/>
      <c r="CJ14" s="120"/>
      <c r="CK14" s="122"/>
      <c r="CM14" s="120">
        <f>SUM(CM10:CM13)</f>
        <v>0</v>
      </c>
      <c r="CN14" s="138" t="s">
        <v>465</v>
      </c>
      <c r="CO14" s="121"/>
      <c r="CS14" s="120">
        <f>SUM(CS12:CS13)</f>
        <v>0</v>
      </c>
      <c r="CT14" s="138" t="s">
        <v>486</v>
      </c>
      <c r="CV14" s="3" t="s">
        <v>342</v>
      </c>
      <c r="CW14">
        <f t="shared" si="33"/>
        <v>0</v>
      </c>
      <c r="CX14" t="s">
        <v>520</v>
      </c>
      <c r="CY14" t="e">
        <f t="shared" si="13"/>
        <v>#N/A</v>
      </c>
      <c r="CZ14" t="e">
        <f t="shared" si="14"/>
        <v>#N/A</v>
      </c>
      <c r="DA14" t="e">
        <f t="shared" si="15"/>
        <v>#N/A</v>
      </c>
      <c r="DB14" t="e">
        <f t="shared" si="16"/>
        <v>#N/A</v>
      </c>
      <c r="DC14" t="str">
        <f t="shared" si="17"/>
        <v xml:space="preserve"> Cstm  </v>
      </c>
      <c r="DD14" t="e">
        <f t="shared" si="18"/>
        <v>#N/A</v>
      </c>
      <c r="DE14" t="b">
        <f t="shared" si="26"/>
        <v>1</v>
      </c>
      <c r="DF14" s="162" t="str">
        <f t="shared" si="27"/>
        <v/>
      </c>
      <c r="DK14" s="217" t="s">
        <v>889</v>
      </c>
      <c r="DL14" s="38"/>
      <c r="DM14" s="38" t="s">
        <v>652</v>
      </c>
      <c r="DN14" s="342">
        <v>60</v>
      </c>
      <c r="DO14" s="218"/>
      <c r="ED14" s="89" t="s">
        <v>9</v>
      </c>
      <c r="EE14" s="3" t="e">
        <f>VLOOKUP(1,BH11:BJ16,3,FALSE)</f>
        <v>#N/A</v>
      </c>
      <c r="EF14" s="3"/>
      <c r="EG14" s="89" t="s">
        <v>387</v>
      </c>
      <c r="EH14" s="3" t="e">
        <f>VLOOKUP(1,BE56:BF58,2,FALSE)</f>
        <v>#N/A</v>
      </c>
      <c r="EJ14" t="s">
        <v>398</v>
      </c>
    </row>
    <row r="15" spans="1:140" x14ac:dyDescent="0.3">
      <c r="A15" s="391"/>
      <c r="B15" s="232"/>
      <c r="C15" s="153" t="s">
        <v>1109</v>
      </c>
      <c r="D15" s="75"/>
      <c r="E15" s="75"/>
      <c r="F15" s="95"/>
      <c r="G15" s="350" t="s">
        <v>101</v>
      </c>
      <c r="H15" s="339"/>
      <c r="I15" s="51"/>
      <c r="J15" s="99"/>
      <c r="K15" s="100" t="s">
        <v>150</v>
      </c>
      <c r="L15" s="170"/>
      <c r="M15" s="330"/>
      <c r="N15" s="111" t="s">
        <v>1177</v>
      </c>
      <c r="O15"/>
      <c r="P15" s="95"/>
      <c r="Q15" s="54" t="s">
        <v>163</v>
      </c>
      <c r="R15" s="53"/>
      <c r="S15" s="53"/>
      <c r="T15" s="53"/>
      <c r="U15" s="368"/>
      <c r="V15" s="53"/>
      <c r="W15" s="53"/>
      <c r="X15" s="53"/>
      <c r="Y15" s="53"/>
      <c r="Z15" s="53"/>
      <c r="AA15" s="53"/>
      <c r="AB15" s="53"/>
      <c r="AC15" s="53"/>
      <c r="AD15"/>
      <c r="AG15" s="70" t="str">
        <f t="shared" ref="AG15" si="39">IF(AN15&gt;0,CONCATENATE("qty ",AN15,") ",AO15,"   "),"")</f>
        <v/>
      </c>
      <c r="AK15" t="s">
        <v>211</v>
      </c>
      <c r="AL15" s="9">
        <f t="shared" si="29"/>
        <v>0</v>
      </c>
      <c r="AM15" s="16" t="b">
        <f t="shared" si="30"/>
        <v>0</v>
      </c>
      <c r="AN15" s="16">
        <f t="shared" si="31"/>
        <v>0</v>
      </c>
      <c r="AO15" s="181" t="s">
        <v>1115</v>
      </c>
      <c r="AP15" s="24">
        <v>1582</v>
      </c>
      <c r="AR15" s="382">
        <f t="shared" si="19"/>
        <v>0</v>
      </c>
      <c r="AS15" s="350" t="s">
        <v>101</v>
      </c>
      <c r="AT15" s="35">
        <v>0</v>
      </c>
      <c r="AU15" s="35">
        <v>0</v>
      </c>
      <c r="AW15" s="300">
        <f t="shared" si="3"/>
        <v>0</v>
      </c>
      <c r="AX15" s="370" t="s">
        <v>101</v>
      </c>
      <c r="AZ15" s="15">
        <f>IF(J15="",0,1)</f>
        <v>0</v>
      </c>
      <c r="BA15" s="36"/>
      <c r="BB15" s="7" t="s">
        <v>150</v>
      </c>
      <c r="BC15" s="315" t="s">
        <v>562</v>
      </c>
      <c r="BD15" s="316">
        <f>IF(M15="",0,1)</f>
        <v>0</v>
      </c>
      <c r="BE15" t="s">
        <v>1179</v>
      </c>
      <c r="BH15" s="9">
        <f t="shared" si="38"/>
        <v>0</v>
      </c>
      <c r="BI15" s="43">
        <f>BH15*DN15</f>
        <v>0</v>
      </c>
      <c r="BJ15" s="3" t="s">
        <v>167</v>
      </c>
      <c r="BN15" s="33">
        <f t="shared" si="4"/>
        <v>0</v>
      </c>
      <c r="BO15" s="33">
        <f t="shared" si="24"/>
        <v>0</v>
      </c>
      <c r="BP15" s="2">
        <f t="shared" si="5"/>
        <v>0</v>
      </c>
      <c r="BQ15">
        <f t="shared" si="20"/>
        <v>0</v>
      </c>
      <c r="BR15">
        <f t="shared" si="6"/>
        <v>0</v>
      </c>
      <c r="BS15">
        <f t="shared" si="7"/>
        <v>0</v>
      </c>
      <c r="BT15">
        <f t="shared" si="8"/>
        <v>0</v>
      </c>
      <c r="BU15">
        <f t="shared" si="32"/>
        <v>0</v>
      </c>
      <c r="BV15">
        <f t="shared" si="9"/>
        <v>0</v>
      </c>
      <c r="BW15" s="121">
        <f t="shared" si="10"/>
        <v>0</v>
      </c>
      <c r="BX15" s="323">
        <f t="shared" si="11"/>
        <v>0</v>
      </c>
      <c r="BY15">
        <f t="shared" si="21"/>
        <v>0</v>
      </c>
      <c r="CA15" s="107">
        <f>SUM(CA12:CA14)</f>
        <v>0</v>
      </c>
      <c r="CB15" s="109" t="s">
        <v>411</v>
      </c>
      <c r="CD15" s="133">
        <f>+AL29</f>
        <v>0</v>
      </c>
      <c r="CE15" s="134" t="s">
        <v>353</v>
      </c>
      <c r="CG15" s="327"/>
      <c r="CH15" s="138"/>
      <c r="CJ15" s="120" t="s">
        <v>446</v>
      </c>
      <c r="CK15" s="138"/>
      <c r="CM15" s="120"/>
      <c r="CN15" s="138"/>
      <c r="CO15" s="121"/>
      <c r="CQ15" s="3"/>
      <c r="CS15" s="120"/>
      <c r="CT15" s="122"/>
      <c r="CV15" s="181" t="s">
        <v>1115</v>
      </c>
      <c r="CW15" s="70">
        <f t="shared" si="33"/>
        <v>0</v>
      </c>
      <c r="CX15" s="70" t="s">
        <v>1123</v>
      </c>
      <c r="CY15" s="70" t="e">
        <f t="shared" si="13"/>
        <v>#N/A</v>
      </c>
      <c r="CZ15" s="70" t="e">
        <f t="shared" si="14"/>
        <v>#N/A</v>
      </c>
      <c r="DA15" s="70" t="e">
        <f t="shared" si="15"/>
        <v>#N/A</v>
      </c>
      <c r="DB15" s="70" t="e">
        <f t="shared" si="16"/>
        <v>#N/A</v>
      </c>
      <c r="DC15" s="70" t="str">
        <f t="shared" si="17"/>
        <v xml:space="preserve"> Cstm  </v>
      </c>
      <c r="DD15" s="70" t="e">
        <f t="shared" ref="DD15" si="40">CONCATENATE(CY15,CZ15,DA15,DB15,DC15)</f>
        <v>#N/A</v>
      </c>
      <c r="DE15" s="70" t="b">
        <f t="shared" ref="DE15" si="41">ISERROR(DD15)</f>
        <v>1</v>
      </c>
      <c r="DF15" s="306" t="str">
        <f t="shared" ref="DF15" si="42">IF(DE15=FALSE,DD15,"")</f>
        <v/>
      </c>
      <c r="DG15" s="70"/>
      <c r="DH15" s="70"/>
      <c r="DI15" s="70"/>
      <c r="DK15" s="217" t="s">
        <v>890</v>
      </c>
      <c r="DM15" t="s">
        <v>653</v>
      </c>
      <c r="DN15" s="39">
        <v>0</v>
      </c>
      <c r="DO15" s="219"/>
      <c r="ED15" s="89" t="s">
        <v>10</v>
      </c>
      <c r="EE15" s="3" t="e">
        <f>VLOOKUP(1,AV61:AX63,3,FALSE)</f>
        <v>#N/A</v>
      </c>
      <c r="EF15" s="3"/>
      <c r="EG15" s="89" t="s">
        <v>25</v>
      </c>
      <c r="EH15" s="3" t="e">
        <f>VLOOKUP(1,AY46:BA49,3,FALSE)</f>
        <v>#N/A</v>
      </c>
      <c r="EJ15" t="s">
        <v>398</v>
      </c>
    </row>
    <row r="16" spans="1:140" x14ac:dyDescent="0.3">
      <c r="A16" s="391"/>
      <c r="B16" s="232"/>
      <c r="C16" s="153" t="s">
        <v>52</v>
      </c>
      <c r="D16" s="75"/>
      <c r="E16" s="75"/>
      <c r="F16" s="95"/>
      <c r="G16" s="55" t="s">
        <v>1010</v>
      </c>
      <c r="H16" s="339"/>
      <c r="I16" s="51"/>
      <c r="J16" s="99"/>
      <c r="K16" s="52" t="s">
        <v>151</v>
      </c>
      <c r="L16" s="170"/>
      <c r="M16" s="330"/>
      <c r="N16" s="111" t="s">
        <v>1227</v>
      </c>
      <c r="O16" s="53"/>
      <c r="P16" s="99"/>
      <c r="Q16" s="51" t="s">
        <v>164</v>
      </c>
      <c r="R16" s="53"/>
      <c r="S16" s="53"/>
      <c r="T16" s="53"/>
      <c r="U16" s="368"/>
      <c r="V16" s="53"/>
      <c r="W16" s="53"/>
      <c r="X16" s="53"/>
      <c r="Y16" s="53"/>
      <c r="Z16" s="53"/>
      <c r="AA16" s="53"/>
      <c r="AB16" s="53"/>
      <c r="AC16" s="53"/>
      <c r="AD16"/>
      <c r="AG16" s="70" t="str">
        <f t="shared" si="28"/>
        <v/>
      </c>
      <c r="AK16" t="s">
        <v>211</v>
      </c>
      <c r="AL16" s="9">
        <f t="shared" si="29"/>
        <v>0</v>
      </c>
      <c r="AM16" s="16" t="b">
        <f t="shared" si="30"/>
        <v>0</v>
      </c>
      <c r="AN16" s="16">
        <f t="shared" si="31"/>
        <v>0</v>
      </c>
      <c r="AO16" s="3" t="s">
        <v>343</v>
      </c>
      <c r="AP16" s="24">
        <v>1582</v>
      </c>
      <c r="AR16" s="13">
        <f t="shared" si="19"/>
        <v>0</v>
      </c>
      <c r="AS16" s="55" t="s">
        <v>1010</v>
      </c>
      <c r="AT16" s="35">
        <v>0</v>
      </c>
      <c r="AU16" s="35">
        <v>0</v>
      </c>
      <c r="AW16" s="300">
        <f t="shared" si="3"/>
        <v>0</v>
      </c>
      <c r="AX16" s="52" t="s">
        <v>1010</v>
      </c>
      <c r="AZ16" s="15">
        <f>IF(J16="",0,1)</f>
        <v>0</v>
      </c>
      <c r="BA16" s="36"/>
      <c r="BB16" s="7" t="s">
        <v>151</v>
      </c>
      <c r="BC16" s="315" t="s">
        <v>565</v>
      </c>
      <c r="BD16" s="316">
        <f>IF(M16="",0,1)</f>
        <v>0</v>
      </c>
      <c r="BE16" t="s">
        <v>1178</v>
      </c>
      <c r="BH16" s="9">
        <f t="shared" si="38"/>
        <v>0</v>
      </c>
      <c r="BI16" s="43">
        <f>BH16*DN16</f>
        <v>0</v>
      </c>
      <c r="BJ16" s="3" t="s">
        <v>998</v>
      </c>
      <c r="BN16" s="33">
        <f t="shared" si="4"/>
        <v>0</v>
      </c>
      <c r="BO16" s="33">
        <f t="shared" si="24"/>
        <v>0</v>
      </c>
      <c r="BP16" s="2">
        <f t="shared" si="5"/>
        <v>0</v>
      </c>
      <c r="BQ16">
        <f t="shared" si="20"/>
        <v>0</v>
      </c>
      <c r="BR16">
        <f t="shared" si="6"/>
        <v>0</v>
      </c>
      <c r="BS16">
        <f t="shared" si="7"/>
        <v>0</v>
      </c>
      <c r="BT16">
        <f t="shared" si="8"/>
        <v>0</v>
      </c>
      <c r="BU16">
        <f t="shared" si="32"/>
        <v>0</v>
      </c>
      <c r="BV16">
        <f t="shared" si="9"/>
        <v>0</v>
      </c>
      <c r="BW16" s="121">
        <f t="shared" si="10"/>
        <v>0</v>
      </c>
      <c r="BX16" s="323">
        <f t="shared" si="11"/>
        <v>0</v>
      </c>
      <c r="BY16">
        <f t="shared" si="21"/>
        <v>0</v>
      </c>
      <c r="CA16" s="107"/>
      <c r="CB16" s="109"/>
      <c r="CD16" s="133">
        <f>AL35+AL36</f>
        <v>0</v>
      </c>
      <c r="CE16" s="134" t="s">
        <v>1185</v>
      </c>
      <c r="CG16" s="327"/>
      <c r="CH16" s="138"/>
      <c r="CJ16" s="120">
        <f>+BB7</f>
        <v>0</v>
      </c>
      <c r="CK16" s="138" t="s">
        <v>447</v>
      </c>
      <c r="CM16" s="127">
        <f>+CM14*CM8</f>
        <v>0</v>
      </c>
      <c r="CN16" s="140" t="s">
        <v>452</v>
      </c>
      <c r="CO16" s="121"/>
      <c r="CP16" s="118" t="s">
        <v>477</v>
      </c>
      <c r="CQ16" s="119"/>
      <c r="CS16" s="123">
        <f>+CS14*CS10</f>
        <v>0</v>
      </c>
      <c r="CT16" s="139" t="s">
        <v>444</v>
      </c>
      <c r="CV16" s="3" t="s">
        <v>343</v>
      </c>
      <c r="CW16">
        <f t="shared" si="33"/>
        <v>0</v>
      </c>
      <c r="CX16" t="s">
        <v>521</v>
      </c>
      <c r="CY16" t="e">
        <f t="shared" si="13"/>
        <v>#N/A</v>
      </c>
      <c r="CZ16" t="e">
        <f t="shared" si="14"/>
        <v>#N/A</v>
      </c>
      <c r="DA16" t="e">
        <f t="shared" si="15"/>
        <v>#N/A</v>
      </c>
      <c r="DB16" t="e">
        <f t="shared" si="16"/>
        <v>#N/A</v>
      </c>
      <c r="DC16" t="str">
        <f t="shared" si="17"/>
        <v xml:space="preserve"> Cstm  </v>
      </c>
      <c r="DD16" t="e">
        <f t="shared" si="18"/>
        <v>#N/A</v>
      </c>
      <c r="DE16" t="b">
        <f t="shared" si="26"/>
        <v>1</v>
      </c>
      <c r="DF16" s="162" t="str">
        <f t="shared" si="27"/>
        <v/>
      </c>
      <c r="DK16" s="217" t="s">
        <v>999</v>
      </c>
      <c r="DM16" s="3" t="s">
        <v>998</v>
      </c>
      <c r="DN16" s="39">
        <v>0</v>
      </c>
      <c r="DO16" s="219"/>
      <c r="ED16" s="89"/>
      <c r="EJ16" t="s">
        <v>398</v>
      </c>
    </row>
    <row r="17" spans="1:140" ht="15.6" x14ac:dyDescent="0.3">
      <c r="A17" s="391"/>
      <c r="B17" s="232"/>
      <c r="C17" s="74" t="s">
        <v>53</v>
      </c>
      <c r="D17" s="75"/>
      <c r="E17" s="75"/>
      <c r="F17" s="95"/>
      <c r="G17" s="350" t="s">
        <v>130</v>
      </c>
      <c r="H17" s="339"/>
      <c r="I17" s="51"/>
      <c r="J17" s="51"/>
      <c r="K17" s="51"/>
      <c r="L17" s="114" t="s">
        <v>1198</v>
      </c>
      <c r="M17" s="51"/>
      <c r="N17" s="51"/>
      <c r="O17" s="53"/>
      <c r="P17" s="99"/>
      <c r="Q17" s="51" t="s">
        <v>165</v>
      </c>
      <c r="R17" s="53"/>
      <c r="S17" s="53"/>
      <c r="T17" s="53"/>
      <c r="U17" s="368"/>
      <c r="V17" s="53"/>
      <c r="W17" s="53"/>
      <c r="X17" s="53"/>
      <c r="Y17" s="53"/>
      <c r="Z17" s="53"/>
      <c r="AA17" s="53"/>
      <c r="AB17" s="53"/>
      <c r="AC17" s="53"/>
      <c r="AD17"/>
      <c r="AG17" s="70" t="str">
        <f t="shared" si="28"/>
        <v/>
      </c>
      <c r="AK17" t="s">
        <v>211</v>
      </c>
      <c r="AL17" s="9">
        <f t="shared" si="29"/>
        <v>0</v>
      </c>
      <c r="AM17" s="16" t="b">
        <f t="shared" si="30"/>
        <v>0</v>
      </c>
      <c r="AN17" s="16">
        <f t="shared" si="31"/>
        <v>0</v>
      </c>
      <c r="AO17" s="3" t="s">
        <v>344</v>
      </c>
      <c r="AP17" s="24">
        <v>1582</v>
      </c>
      <c r="AR17" s="13">
        <f t="shared" si="19"/>
        <v>0</v>
      </c>
      <c r="AS17" s="350" t="s">
        <v>130</v>
      </c>
      <c r="AT17" s="35">
        <v>50</v>
      </c>
      <c r="AU17" s="35">
        <v>50</v>
      </c>
      <c r="AW17" s="300">
        <f t="shared" si="3"/>
        <v>0</v>
      </c>
      <c r="AX17" s="370" t="s">
        <v>130</v>
      </c>
      <c r="AY17" s="10" t="s">
        <v>204</v>
      </c>
      <c r="AZ17">
        <f>SUM(AZ15:AZ16)</f>
        <v>0</v>
      </c>
      <c r="BA17" s="49"/>
      <c r="BC17" s="210"/>
      <c r="BD17">
        <f>SUM(BD15:BD16)</f>
        <v>0</v>
      </c>
      <c r="BE17" s="3" t="s">
        <v>204</v>
      </c>
      <c r="BG17" s="3" t="s">
        <v>204</v>
      </c>
      <c r="BH17" s="21">
        <f>SUM(BH11:BH16)</f>
        <v>0</v>
      </c>
      <c r="BI17" s="44">
        <f>SUM(BI11:BI16)</f>
        <v>0</v>
      </c>
      <c r="BJ17" s="24" t="s">
        <v>227</v>
      </c>
      <c r="BN17" s="33">
        <f t="shared" ref="BN17:BN43" si="43">AR17*AT17</f>
        <v>0</v>
      </c>
      <c r="BO17" s="33">
        <f t="shared" si="24"/>
        <v>0</v>
      </c>
      <c r="BP17" s="222">
        <f t="shared" si="5"/>
        <v>0</v>
      </c>
      <c r="BQ17">
        <f t="shared" si="20"/>
        <v>0</v>
      </c>
      <c r="BR17">
        <f t="shared" si="6"/>
        <v>0</v>
      </c>
      <c r="BS17">
        <f t="shared" si="7"/>
        <v>0</v>
      </c>
      <c r="BT17">
        <f t="shared" si="8"/>
        <v>0</v>
      </c>
      <c r="BU17">
        <f t="shared" si="32"/>
        <v>0</v>
      </c>
      <c r="BV17">
        <f t="shared" si="9"/>
        <v>0</v>
      </c>
      <c r="BW17" s="121">
        <f t="shared" si="10"/>
        <v>0</v>
      </c>
      <c r="BX17" s="323">
        <f t="shared" si="11"/>
        <v>0</v>
      </c>
      <c r="BY17">
        <f t="shared" si="21"/>
        <v>0</v>
      </c>
      <c r="CA17" s="107">
        <f>IF(CA15*CA9&gt;0,1,0)</f>
        <v>0</v>
      </c>
      <c r="CB17" s="109" t="s">
        <v>439</v>
      </c>
      <c r="CD17" s="133">
        <f>+AL37</f>
        <v>0</v>
      </c>
      <c r="CE17" s="134" t="s">
        <v>359</v>
      </c>
      <c r="CG17" s="328"/>
      <c r="CH17" s="137"/>
      <c r="CJ17" s="120">
        <f>AL35</f>
        <v>0</v>
      </c>
      <c r="CK17" s="122" t="s">
        <v>1119</v>
      </c>
      <c r="CN17" s="3"/>
      <c r="CO17" s="121"/>
      <c r="CP17" s="120"/>
      <c r="CQ17" s="144" t="s">
        <v>479</v>
      </c>
      <c r="CS17" s="125"/>
      <c r="CT17" s="126"/>
      <c r="CV17" s="3" t="s">
        <v>344</v>
      </c>
      <c r="CW17">
        <f t="shared" si="33"/>
        <v>0</v>
      </c>
      <c r="CX17" t="s">
        <v>522</v>
      </c>
      <c r="CY17" t="e">
        <f t="shared" si="13"/>
        <v>#N/A</v>
      </c>
      <c r="CZ17" t="e">
        <f t="shared" si="14"/>
        <v>#N/A</v>
      </c>
      <c r="DA17" t="e">
        <f t="shared" si="15"/>
        <v>#N/A</v>
      </c>
      <c r="DB17" t="e">
        <f t="shared" si="16"/>
        <v>#N/A</v>
      </c>
      <c r="DC17" t="str">
        <f t="shared" si="17"/>
        <v xml:space="preserve"> Cstm  </v>
      </c>
      <c r="DD17" t="e">
        <f t="shared" si="18"/>
        <v>#N/A</v>
      </c>
      <c r="DE17" t="b">
        <f t="shared" si="26"/>
        <v>1</v>
      </c>
      <c r="DF17" s="162" t="str">
        <f t="shared" si="27"/>
        <v/>
      </c>
      <c r="DK17" s="217"/>
      <c r="DM17" s="192" t="s">
        <v>257</v>
      </c>
      <c r="DN17" s="39"/>
      <c r="DO17" s="219"/>
      <c r="ED17" s="66" t="str">
        <f>IF(AN73=1,"Tom Tom",CONCATENATE(AN73," Tom Toms Chosen"))</f>
        <v>0 Tom Toms Chosen</v>
      </c>
      <c r="EE17" s="187" t="s">
        <v>639</v>
      </c>
      <c r="EJ17" t="s">
        <v>398</v>
      </c>
    </row>
    <row r="18" spans="1:140" ht="15" customHeight="1" x14ac:dyDescent="0.3">
      <c r="A18" s="391"/>
      <c r="B18" s="232"/>
      <c r="C18" s="74" t="s">
        <v>54</v>
      </c>
      <c r="D18" s="75"/>
      <c r="E18" s="75"/>
      <c r="F18" s="95"/>
      <c r="G18" s="55" t="s">
        <v>126</v>
      </c>
      <c r="H18" s="339"/>
      <c r="I18" s="51"/>
      <c r="J18" s="112" t="s">
        <v>1229</v>
      </c>
      <c r="K18" s="51"/>
      <c r="L18" s="54"/>
      <c r="M18" s="51"/>
      <c r="N18" s="51"/>
      <c r="O18" s="53"/>
      <c r="P18" s="99"/>
      <c r="Q18" s="51" t="s">
        <v>166</v>
      </c>
      <c r="R18" s="53"/>
      <c r="S18" s="53"/>
      <c r="T18" s="53"/>
      <c r="U18" s="55"/>
      <c r="V18" s="51"/>
      <c r="W18" s="51"/>
      <c r="X18" s="53"/>
      <c r="Y18" s="53"/>
      <c r="Z18" s="53"/>
      <c r="AA18" s="53"/>
      <c r="AB18" s="53"/>
      <c r="AC18" s="53"/>
      <c r="AD18"/>
      <c r="AG18" s="70" t="str">
        <f t="shared" si="28"/>
        <v/>
      </c>
      <c r="AK18" t="s">
        <v>211</v>
      </c>
      <c r="AL18" s="9">
        <f t="shared" si="29"/>
        <v>0</v>
      </c>
      <c r="AM18" s="16" t="b">
        <f t="shared" si="30"/>
        <v>0</v>
      </c>
      <c r="AN18" s="16">
        <f t="shared" si="31"/>
        <v>0</v>
      </c>
      <c r="AO18" s="3" t="s">
        <v>345</v>
      </c>
      <c r="AP18" s="24">
        <v>1582</v>
      </c>
      <c r="AR18" s="13">
        <f t="shared" si="19"/>
        <v>0</v>
      </c>
      <c r="AS18" s="55" t="s">
        <v>126</v>
      </c>
      <c r="AT18" s="35">
        <v>0</v>
      </c>
      <c r="AU18" s="35">
        <v>0</v>
      </c>
      <c r="AW18" s="300">
        <f>IF(H18="",0,1)</f>
        <v>0</v>
      </c>
      <c r="AX18" s="52" t="s">
        <v>126</v>
      </c>
      <c r="BN18" s="33">
        <f t="shared" si="43"/>
        <v>0</v>
      </c>
      <c r="BO18" s="33">
        <f t="shared" si="24"/>
        <v>0</v>
      </c>
      <c r="BP18" s="222">
        <f t="shared" si="5"/>
        <v>0</v>
      </c>
      <c r="BQ18">
        <f t="shared" si="20"/>
        <v>0</v>
      </c>
      <c r="BR18">
        <f t="shared" si="6"/>
        <v>0</v>
      </c>
      <c r="BS18">
        <f t="shared" si="7"/>
        <v>0</v>
      </c>
      <c r="BT18">
        <f t="shared" si="8"/>
        <v>0</v>
      </c>
      <c r="BU18">
        <f t="shared" si="32"/>
        <v>0</v>
      </c>
      <c r="BV18">
        <f t="shared" si="9"/>
        <v>0</v>
      </c>
      <c r="BW18" s="121">
        <f t="shared" si="10"/>
        <v>0</v>
      </c>
      <c r="BX18" s="323">
        <f t="shared" si="11"/>
        <v>0</v>
      </c>
      <c r="BY18">
        <f t="shared" si="21"/>
        <v>0</v>
      </c>
      <c r="CA18" s="107"/>
      <c r="CB18" s="109"/>
      <c r="CD18" s="133">
        <f>+AL38</f>
        <v>0</v>
      </c>
      <c r="CE18" s="134" t="s">
        <v>360</v>
      </c>
      <c r="CG18" s="120"/>
      <c r="CH18" s="137"/>
      <c r="CJ18" s="120">
        <f>+AL37</f>
        <v>0</v>
      </c>
      <c r="CK18" s="138" t="s">
        <v>360</v>
      </c>
      <c r="CN18" s="3"/>
      <c r="CO18" s="121"/>
      <c r="CP18" s="120">
        <f>+AL14</f>
        <v>0</v>
      </c>
      <c r="CQ18" s="138" t="s">
        <v>342</v>
      </c>
      <c r="CV18" s="3" t="s">
        <v>345</v>
      </c>
      <c r="CW18">
        <f t="shared" si="33"/>
        <v>0</v>
      </c>
      <c r="CX18" t="s">
        <v>523</v>
      </c>
      <c r="CY18" t="e">
        <f t="shared" si="13"/>
        <v>#N/A</v>
      </c>
      <c r="CZ18" t="e">
        <f t="shared" si="14"/>
        <v>#N/A</v>
      </c>
      <c r="DA18" t="e">
        <f t="shared" si="15"/>
        <v>#N/A</v>
      </c>
      <c r="DB18" t="e">
        <f t="shared" si="16"/>
        <v>#N/A</v>
      </c>
      <c r="DC18" t="str">
        <f t="shared" si="17"/>
        <v xml:space="preserve"> Cstm  </v>
      </c>
      <c r="DD18" t="e">
        <f t="shared" si="18"/>
        <v>#N/A</v>
      </c>
      <c r="DE18" t="b">
        <f t="shared" si="26"/>
        <v>1</v>
      </c>
      <c r="DF18" s="162" t="str">
        <f t="shared" si="27"/>
        <v/>
      </c>
      <c r="DK18" s="217" t="s">
        <v>891</v>
      </c>
      <c r="DM18" t="s">
        <v>153</v>
      </c>
      <c r="DN18" s="39">
        <v>25</v>
      </c>
      <c r="DO18" s="219"/>
      <c r="ED18" s="390" t="str">
        <f>+DI60</f>
        <v/>
      </c>
      <c r="EE18" s="390"/>
      <c r="EF18" s="390"/>
      <c r="EG18" s="390"/>
      <c r="EH18" s="390"/>
      <c r="EJ18" t="s">
        <v>398</v>
      </c>
    </row>
    <row r="19" spans="1:140" ht="15" customHeight="1" x14ac:dyDescent="0.3">
      <c r="A19" s="391"/>
      <c r="B19" s="232"/>
      <c r="C19" s="74" t="s">
        <v>55</v>
      </c>
      <c r="D19" s="75"/>
      <c r="E19" s="75"/>
      <c r="F19" s="95"/>
      <c r="G19" s="55" t="s">
        <v>106</v>
      </c>
      <c r="H19" s="339"/>
      <c r="I19" s="51"/>
      <c r="J19" s="51"/>
      <c r="K19" s="60" t="s">
        <v>7</v>
      </c>
      <c r="L19" s="51"/>
      <c r="M19" s="112" t="s">
        <v>1096</v>
      </c>
      <c r="N19" s="269"/>
      <c r="O19" s="271"/>
      <c r="P19" s="99"/>
      <c r="Q19" s="51" t="s">
        <v>167</v>
      </c>
      <c r="R19" s="53"/>
      <c r="S19" s="53"/>
      <c r="T19" s="53"/>
      <c r="U19" s="55"/>
      <c r="V19" s="51"/>
      <c r="W19" s="51"/>
      <c r="X19" s="53"/>
      <c r="Y19" s="53"/>
      <c r="Z19" s="53"/>
      <c r="AA19" s="53"/>
      <c r="AB19" s="53"/>
      <c r="AC19" s="53"/>
      <c r="AD19"/>
      <c r="AG19" s="70" t="str">
        <f t="shared" si="28"/>
        <v/>
      </c>
      <c r="AK19" t="s">
        <v>211</v>
      </c>
      <c r="AL19" s="9">
        <f t="shared" si="29"/>
        <v>0</v>
      </c>
      <c r="AM19" s="16" t="b">
        <f t="shared" si="30"/>
        <v>0</v>
      </c>
      <c r="AN19" s="16">
        <f t="shared" si="31"/>
        <v>0</v>
      </c>
      <c r="AO19" s="3" t="s">
        <v>346</v>
      </c>
      <c r="AP19" s="24">
        <v>1582</v>
      </c>
      <c r="AR19" s="382">
        <f t="shared" si="19"/>
        <v>0</v>
      </c>
      <c r="AS19" s="55" t="s">
        <v>106</v>
      </c>
      <c r="AT19" s="35">
        <v>0</v>
      </c>
      <c r="AU19" s="35">
        <v>0</v>
      </c>
      <c r="AW19" s="300">
        <f t="shared" si="3"/>
        <v>0</v>
      </c>
      <c r="AX19" s="52" t="s">
        <v>106</v>
      </c>
      <c r="AZ19" t="s">
        <v>204</v>
      </c>
      <c r="BA19" s="36" t="s">
        <v>227</v>
      </c>
      <c r="BB19" s="36"/>
      <c r="BC19" t="s">
        <v>7</v>
      </c>
      <c r="BE19" s="156" t="s">
        <v>552</v>
      </c>
      <c r="BN19" s="33">
        <f t="shared" si="43"/>
        <v>0</v>
      </c>
      <c r="BO19" s="33">
        <f t="shared" si="24"/>
        <v>0</v>
      </c>
      <c r="BP19" s="222">
        <f t="shared" si="5"/>
        <v>0</v>
      </c>
      <c r="BQ19">
        <f t="shared" si="20"/>
        <v>0</v>
      </c>
      <c r="BR19">
        <f t="shared" si="6"/>
        <v>0</v>
      </c>
      <c r="BS19">
        <f t="shared" si="7"/>
        <v>0</v>
      </c>
      <c r="BT19">
        <f t="shared" si="8"/>
        <v>0</v>
      </c>
      <c r="BU19">
        <f t="shared" si="32"/>
        <v>0</v>
      </c>
      <c r="BV19">
        <f t="shared" si="9"/>
        <v>0</v>
      </c>
      <c r="BW19" s="121">
        <f t="shared" si="10"/>
        <v>0</v>
      </c>
      <c r="BX19" s="323">
        <f t="shared" si="11"/>
        <v>0</v>
      </c>
      <c r="BY19">
        <f t="shared" si="21"/>
        <v>0</v>
      </c>
      <c r="CD19" s="133">
        <f>+AL39+AL40</f>
        <v>0</v>
      </c>
      <c r="CE19" s="134" t="s">
        <v>1169</v>
      </c>
      <c r="CG19" s="120" t="s">
        <v>435</v>
      </c>
      <c r="CH19" s="122"/>
      <c r="CJ19" s="120">
        <f>+AL39+AL40</f>
        <v>0</v>
      </c>
      <c r="CK19" s="138" t="s">
        <v>1181</v>
      </c>
      <c r="CM19" s="118" t="s">
        <v>467</v>
      </c>
      <c r="CN19" s="141"/>
      <c r="CO19" s="121"/>
      <c r="CP19" s="120">
        <f>+AL19</f>
        <v>0</v>
      </c>
      <c r="CQ19" s="138" t="s">
        <v>346</v>
      </c>
      <c r="CV19" s="3" t="s">
        <v>346</v>
      </c>
      <c r="CW19">
        <f t="shared" si="33"/>
        <v>0</v>
      </c>
      <c r="CX19" t="s">
        <v>524</v>
      </c>
      <c r="CY19" t="e">
        <f t="shared" si="13"/>
        <v>#N/A</v>
      </c>
      <c r="CZ19" t="e">
        <f t="shared" si="14"/>
        <v>#N/A</v>
      </c>
      <c r="DA19" t="e">
        <f t="shared" si="15"/>
        <v>#N/A</v>
      </c>
      <c r="DB19" t="e">
        <f t="shared" si="16"/>
        <v>#N/A</v>
      </c>
      <c r="DC19" t="str">
        <f t="shared" si="17"/>
        <v xml:space="preserve"> Cstm  </v>
      </c>
      <c r="DD19" t="e">
        <f t="shared" si="18"/>
        <v>#N/A</v>
      </c>
      <c r="DE19" t="b">
        <f t="shared" si="26"/>
        <v>1</v>
      </c>
      <c r="DF19" s="162" t="str">
        <f t="shared" si="27"/>
        <v/>
      </c>
      <c r="DK19" s="217" t="s">
        <v>892</v>
      </c>
      <c r="DM19" t="s">
        <v>154</v>
      </c>
      <c r="DN19" s="39">
        <v>95</v>
      </c>
      <c r="DO19" s="219"/>
      <c r="ED19" s="89" t="s">
        <v>0</v>
      </c>
      <c r="EE19" s="3" t="s">
        <v>496</v>
      </c>
      <c r="EF19" s="3"/>
      <c r="EG19" s="10"/>
      <c r="EH19" s="186"/>
      <c r="EJ19" t="s">
        <v>398</v>
      </c>
    </row>
    <row r="20" spans="1:140" ht="15.75" customHeight="1" thickBot="1" x14ac:dyDescent="0.35">
      <c r="A20" s="391"/>
      <c r="B20" s="232"/>
      <c r="C20" s="153" t="s">
        <v>1110</v>
      </c>
      <c r="D20" s="75"/>
      <c r="E20" s="75"/>
      <c r="F20" s="95"/>
      <c r="G20" s="350" t="s">
        <v>1247</v>
      </c>
      <c r="H20" s="339"/>
      <c r="I20" s="51"/>
      <c r="J20" s="51"/>
      <c r="K20" s="99"/>
      <c r="L20" s="54" t="s">
        <v>152</v>
      </c>
      <c r="M20" s="51"/>
      <c r="N20" s="51"/>
      <c r="O20"/>
      <c r="P20" s="116"/>
      <c r="Q20" s="51" t="s">
        <v>998</v>
      </c>
      <c r="R20" s="53"/>
      <c r="S20" s="53"/>
      <c r="T20" s="53"/>
      <c r="U20" s="55"/>
      <c r="V20" s="51"/>
      <c r="W20" s="51"/>
      <c r="X20" s="53"/>
      <c r="Y20" s="53"/>
      <c r="Z20" s="53"/>
      <c r="AA20" s="53"/>
      <c r="AB20" s="53"/>
      <c r="AC20" s="53"/>
      <c r="AD20"/>
      <c r="AG20" s="70" t="str">
        <f t="shared" ref="AG20" si="44">IF(AN20&gt;0,CONCATENATE("qty ",AN20,") ",AO20,"   "),"")</f>
        <v/>
      </c>
      <c r="AK20" t="s">
        <v>211</v>
      </c>
      <c r="AL20" s="9">
        <f t="shared" si="29"/>
        <v>0</v>
      </c>
      <c r="AM20" s="16" t="b">
        <f t="shared" si="30"/>
        <v>0</v>
      </c>
      <c r="AN20" s="16">
        <f t="shared" si="31"/>
        <v>0</v>
      </c>
      <c r="AO20" s="181" t="s">
        <v>1116</v>
      </c>
      <c r="AP20" s="24">
        <v>1636</v>
      </c>
      <c r="AR20" s="382">
        <f t="shared" si="19"/>
        <v>0</v>
      </c>
      <c r="AS20" s="350" t="s">
        <v>1247</v>
      </c>
      <c r="AT20" s="35">
        <v>0</v>
      </c>
      <c r="AU20" s="35">
        <v>0</v>
      </c>
      <c r="AW20" s="300">
        <f t="shared" si="3"/>
        <v>0</v>
      </c>
      <c r="AX20" s="370" t="s">
        <v>1247</v>
      </c>
      <c r="AZ20" s="15">
        <f t="shared" ref="AZ20:AZ28" si="45">IF(K20="",0,1)</f>
        <v>0</v>
      </c>
      <c r="BA20" s="39">
        <v>0</v>
      </c>
      <c r="BB20" s="39">
        <f>+AZ20*BA20</f>
        <v>0</v>
      </c>
      <c r="BC20" s="3" t="s">
        <v>152</v>
      </c>
      <c r="BE20" s="156" t="s">
        <v>545</v>
      </c>
      <c r="BN20" s="33">
        <f t="shared" si="43"/>
        <v>0</v>
      </c>
      <c r="BO20" s="33">
        <f t="shared" si="24"/>
        <v>0</v>
      </c>
      <c r="BP20" s="222">
        <f t="shared" si="5"/>
        <v>0</v>
      </c>
      <c r="BQ20">
        <f t="shared" si="20"/>
        <v>0</v>
      </c>
      <c r="BR20">
        <f t="shared" si="6"/>
        <v>0</v>
      </c>
      <c r="BS20">
        <f t="shared" si="7"/>
        <v>0</v>
      </c>
      <c r="BT20">
        <f t="shared" si="8"/>
        <v>0</v>
      </c>
      <c r="BU20">
        <f t="shared" si="32"/>
        <v>0</v>
      </c>
      <c r="BV20">
        <f t="shared" si="9"/>
        <v>0</v>
      </c>
      <c r="BW20" s="121">
        <f t="shared" si="10"/>
        <v>0</v>
      </c>
      <c r="BX20" s="323">
        <f t="shared" si="11"/>
        <v>0</v>
      </c>
      <c r="BY20">
        <f t="shared" si="21"/>
        <v>0</v>
      </c>
      <c r="CA20" s="108" t="s">
        <v>414</v>
      </c>
      <c r="CB20" s="108"/>
      <c r="CD20" s="133">
        <f>+AL41</f>
        <v>0</v>
      </c>
      <c r="CE20" s="134" t="s">
        <v>362</v>
      </c>
      <c r="CG20" s="327">
        <f t="shared" ref="CG20:CG29" si="46">+AR59</f>
        <v>0</v>
      </c>
      <c r="CH20" s="138" t="s">
        <v>1131</v>
      </c>
      <c r="CJ20" s="120">
        <f>SUM(CJ17:CJ19)</f>
        <v>0</v>
      </c>
      <c r="CK20" s="138" t="s">
        <v>449</v>
      </c>
      <c r="CM20" s="120">
        <f>+BD46</f>
        <v>0</v>
      </c>
      <c r="CN20" s="138" t="s">
        <v>258</v>
      </c>
      <c r="CO20" s="121"/>
      <c r="CP20" s="120">
        <f>SUM(CP18:CP19)</f>
        <v>0</v>
      </c>
      <c r="CQ20" s="138" t="s">
        <v>449</v>
      </c>
      <c r="CS20" s="118" t="s">
        <v>488</v>
      </c>
      <c r="CT20" s="119"/>
      <c r="CV20" s="181" t="s">
        <v>1116</v>
      </c>
      <c r="CW20">
        <f t="shared" si="33"/>
        <v>0</v>
      </c>
      <c r="CX20" t="s">
        <v>1124</v>
      </c>
      <c r="CY20" t="e">
        <f t="shared" si="13"/>
        <v>#N/A</v>
      </c>
      <c r="CZ20" t="e">
        <f t="shared" si="14"/>
        <v>#N/A</v>
      </c>
      <c r="DA20" t="e">
        <f t="shared" si="15"/>
        <v>#N/A</v>
      </c>
      <c r="DB20" t="e">
        <f t="shared" si="16"/>
        <v>#N/A</v>
      </c>
      <c r="DC20" t="str">
        <f t="shared" si="17"/>
        <v xml:space="preserve"> Cstm  </v>
      </c>
      <c r="DD20" t="e">
        <f t="shared" ref="DD20" si="47">CONCATENATE(CY20,CZ20,DA20,DB20,DC20)</f>
        <v>#N/A</v>
      </c>
      <c r="DE20" t="b">
        <f t="shared" ref="DE20" si="48">ISERROR(DD20)</f>
        <v>1</v>
      </c>
      <c r="DF20" s="162" t="str">
        <f t="shared" ref="DF20" si="49">IF(DE20=FALSE,DD20,"")</f>
        <v/>
      </c>
      <c r="DK20" s="217" t="s">
        <v>893</v>
      </c>
      <c r="DM20" t="s">
        <v>155</v>
      </c>
      <c r="DN20" s="39">
        <v>100</v>
      </c>
      <c r="DO20" s="219"/>
      <c r="ED20" s="89" t="s">
        <v>1</v>
      </c>
      <c r="EE20" s="3" t="s">
        <v>400</v>
      </c>
      <c r="EF20" s="3"/>
      <c r="EG20" s="89" t="s">
        <v>1180</v>
      </c>
      <c r="EH20" s="3" t="str">
        <f>IF(BD16=1,"SINGLE HEAD","Double Head")</f>
        <v>Double Head</v>
      </c>
      <c r="EJ20" t="s">
        <v>398</v>
      </c>
    </row>
    <row r="21" spans="1:140" ht="15.6" x14ac:dyDescent="0.3">
      <c r="A21" s="391"/>
      <c r="B21" s="232"/>
      <c r="C21" s="74" t="s">
        <v>56</v>
      </c>
      <c r="D21" s="75"/>
      <c r="E21" s="75"/>
      <c r="F21" s="95"/>
      <c r="G21" s="55" t="s">
        <v>129</v>
      </c>
      <c r="H21" s="339"/>
      <c r="I21" s="51"/>
      <c r="J21" s="51"/>
      <c r="K21" s="99"/>
      <c r="L21" s="51" t="str">
        <f>IF(AZ16=1, "P7184A CHROME Elite Casting", "P7184A Elite Bass Casting")</f>
        <v>P7184A Elite Bass Casting</v>
      </c>
      <c r="M21" s="51"/>
      <c r="N21" s="51"/>
      <c r="O21" s="51"/>
      <c r="P21" s="225" t="s">
        <v>466</v>
      </c>
      <c r="Q21" s="53"/>
      <c r="R21" s="53"/>
      <c r="S21" s="53"/>
      <c r="T21" s="53"/>
      <c r="U21" s="55"/>
      <c r="V21" s="51"/>
      <c r="W21" s="51"/>
      <c r="X21" s="53"/>
      <c r="Y21" s="53"/>
      <c r="Z21" s="53"/>
      <c r="AA21" s="53"/>
      <c r="AB21" s="53"/>
      <c r="AC21" s="53"/>
      <c r="AD21"/>
      <c r="AG21" s="70" t="str">
        <f t="shared" si="28"/>
        <v/>
      </c>
      <c r="AK21" t="s">
        <v>211</v>
      </c>
      <c r="AL21" s="9">
        <f t="shared" si="29"/>
        <v>0</v>
      </c>
      <c r="AM21" s="16" t="b">
        <f t="shared" si="30"/>
        <v>0</v>
      </c>
      <c r="AN21" s="16">
        <f t="shared" si="31"/>
        <v>0</v>
      </c>
      <c r="AO21" s="3" t="s">
        <v>347</v>
      </c>
      <c r="AP21" s="24">
        <v>1636</v>
      </c>
      <c r="AR21" s="13">
        <f t="shared" si="19"/>
        <v>0</v>
      </c>
      <c r="AS21" s="55" t="s">
        <v>129</v>
      </c>
      <c r="AT21" s="35">
        <v>50</v>
      </c>
      <c r="AU21" s="35">
        <v>50</v>
      </c>
      <c r="AW21" s="300">
        <f t="shared" si="3"/>
        <v>0</v>
      </c>
      <c r="AX21" s="52" t="s">
        <v>129</v>
      </c>
      <c r="AZ21" s="15">
        <f t="shared" si="45"/>
        <v>0</v>
      </c>
      <c r="BA21" s="39">
        <f t="shared" ref="BA21:BA28" si="50">DN18</f>
        <v>25</v>
      </c>
      <c r="BB21" s="39">
        <f>+AZ21*BA21</f>
        <v>0</v>
      </c>
      <c r="BC21" s="3" t="str">
        <f>IF(AZ16=1, "CHROME Elie Casting", "P7184A Elite Bass Casting")</f>
        <v>P7184A Elite Bass Casting</v>
      </c>
      <c r="BE21" s="156" t="s">
        <v>546</v>
      </c>
      <c r="BN21" s="33">
        <f t="shared" si="43"/>
        <v>0</v>
      </c>
      <c r="BO21" s="33">
        <f t="shared" si="24"/>
        <v>0</v>
      </c>
      <c r="BP21" s="222">
        <f t="shared" si="5"/>
        <v>0</v>
      </c>
      <c r="BQ21">
        <f t="shared" si="20"/>
        <v>0</v>
      </c>
      <c r="BR21">
        <f t="shared" si="6"/>
        <v>0</v>
      </c>
      <c r="BS21">
        <f t="shared" si="7"/>
        <v>0</v>
      </c>
      <c r="BT21">
        <f t="shared" si="8"/>
        <v>0</v>
      </c>
      <c r="BU21">
        <f t="shared" si="32"/>
        <v>0</v>
      </c>
      <c r="BV21">
        <f t="shared" si="9"/>
        <v>0</v>
      </c>
      <c r="BW21" s="121">
        <f t="shared" si="10"/>
        <v>0</v>
      </c>
      <c r="BX21" s="323">
        <f t="shared" si="11"/>
        <v>0</v>
      </c>
      <c r="BY21">
        <f t="shared" si="21"/>
        <v>0</v>
      </c>
      <c r="CA21" s="107">
        <f>+AZ25</f>
        <v>0</v>
      </c>
      <c r="CB21" s="109" t="s">
        <v>157</v>
      </c>
      <c r="CD21" s="133">
        <f>+AL42</f>
        <v>0</v>
      </c>
      <c r="CE21" s="134" t="s">
        <v>363</v>
      </c>
      <c r="CG21" s="327">
        <f t="shared" si="46"/>
        <v>0</v>
      </c>
      <c r="CH21" s="138" t="s">
        <v>1132</v>
      </c>
      <c r="CJ21" s="123">
        <f>+CJ20*CJ16</f>
        <v>0</v>
      </c>
      <c r="CK21" s="139" t="s">
        <v>444</v>
      </c>
      <c r="CM21" s="120">
        <f>+BD47</f>
        <v>0</v>
      </c>
      <c r="CN21" s="138" t="s">
        <v>260</v>
      </c>
      <c r="CO21" s="121"/>
      <c r="CP21" s="120"/>
      <c r="CQ21" s="122"/>
      <c r="CS21" s="120"/>
      <c r="CT21" s="122"/>
      <c r="CV21" s="3" t="s">
        <v>347</v>
      </c>
      <c r="CW21">
        <f t="shared" si="33"/>
        <v>0</v>
      </c>
      <c r="CX21" t="s">
        <v>525</v>
      </c>
      <c r="CY21" t="e">
        <f t="shared" si="13"/>
        <v>#N/A</v>
      </c>
      <c r="CZ21" t="e">
        <f t="shared" si="14"/>
        <v>#N/A</v>
      </c>
      <c r="DA21" t="e">
        <f t="shared" si="15"/>
        <v>#N/A</v>
      </c>
      <c r="DB21" t="e">
        <f t="shared" si="16"/>
        <v>#N/A</v>
      </c>
      <c r="DC21" t="str">
        <f t="shared" si="17"/>
        <v xml:space="preserve"> Cstm  </v>
      </c>
      <c r="DD21" t="e">
        <f t="shared" si="18"/>
        <v>#N/A</v>
      </c>
      <c r="DE21" t="b">
        <f t="shared" si="26"/>
        <v>1</v>
      </c>
      <c r="DF21" s="162" t="str">
        <f t="shared" si="27"/>
        <v/>
      </c>
      <c r="DK21" s="217" t="s">
        <v>894</v>
      </c>
      <c r="DM21" t="s">
        <v>156</v>
      </c>
      <c r="DN21" s="39">
        <v>50</v>
      </c>
      <c r="DO21" s="219"/>
      <c r="ED21" s="89" t="s">
        <v>2</v>
      </c>
      <c r="EE21" s="387" t="str">
        <f>AG78</f>
        <v/>
      </c>
      <c r="EF21" s="388"/>
      <c r="EG21" s="388"/>
      <c r="EH21" s="388"/>
      <c r="EJ21" t="s">
        <v>398</v>
      </c>
    </row>
    <row r="22" spans="1:140" x14ac:dyDescent="0.3">
      <c r="A22" s="391"/>
      <c r="B22" s="232"/>
      <c r="C22" s="74" t="s">
        <v>57</v>
      </c>
      <c r="D22" s="75"/>
      <c r="E22" s="75"/>
      <c r="F22" s="95"/>
      <c r="G22" s="350" t="s">
        <v>1248</v>
      </c>
      <c r="H22" s="339"/>
      <c r="I22" s="51"/>
      <c r="J22" s="51"/>
      <c r="K22" s="99"/>
      <c r="L22" s="51" t="str">
        <f>IF(AZ16=1, "LR2991MT CHROME Elite Single", "LR2991MT Elite Single Tom Holder")</f>
        <v>LR2991MT Elite Single Tom Holder</v>
      </c>
      <c r="M22" s="51"/>
      <c r="N22" s="51"/>
      <c r="O22" s="113" t="s">
        <v>461</v>
      </c>
      <c r="P22" s="53"/>
      <c r="Q22" s="53"/>
      <c r="R22" s="53"/>
      <c r="S22" s="53"/>
      <c r="T22" s="53"/>
      <c r="U22" s="368"/>
      <c r="V22" s="53"/>
      <c r="W22" s="53"/>
      <c r="X22" s="53"/>
      <c r="Y22" s="53"/>
      <c r="Z22" s="53"/>
      <c r="AA22" s="53"/>
      <c r="AB22" s="53"/>
      <c r="AC22" s="53"/>
      <c r="AD22"/>
      <c r="AE22" s="121"/>
      <c r="AF22" s="121"/>
      <c r="AG22" s="302" t="str">
        <f t="shared" si="28"/>
        <v/>
      </c>
      <c r="AH22" s="121"/>
      <c r="AI22" s="121"/>
      <c r="AJ22" s="121"/>
      <c r="AK22" s="121" t="s">
        <v>211</v>
      </c>
      <c r="AL22" s="9">
        <f t="shared" si="29"/>
        <v>0</v>
      </c>
      <c r="AM22" s="16" t="b">
        <f t="shared" si="30"/>
        <v>0</v>
      </c>
      <c r="AN22" s="16">
        <f t="shared" si="31"/>
        <v>0</v>
      </c>
      <c r="AO22" s="6" t="s">
        <v>348</v>
      </c>
      <c r="AP22" s="24">
        <v>1636</v>
      </c>
      <c r="AR22" s="13">
        <f t="shared" si="19"/>
        <v>0</v>
      </c>
      <c r="AS22" s="350" t="s">
        <v>1248</v>
      </c>
      <c r="AT22" s="35">
        <v>0</v>
      </c>
      <c r="AU22" s="35">
        <v>0</v>
      </c>
      <c r="AW22" s="300">
        <f t="shared" si="3"/>
        <v>0</v>
      </c>
      <c r="AX22" s="370" t="s">
        <v>1248</v>
      </c>
      <c r="AZ22" s="15">
        <f t="shared" si="45"/>
        <v>0</v>
      </c>
      <c r="BA22" s="39">
        <f t="shared" si="50"/>
        <v>95</v>
      </c>
      <c r="BB22" s="39">
        <f t="shared" ref="BB22:BB28" si="51">+AZ22*BA22</f>
        <v>0</v>
      </c>
      <c r="BC22" s="3" t="str">
        <f>IF(AZ16=1, "CHROME Elite Single",  "LR2991MT Elite Single Tom Holder")</f>
        <v>LR2991MT Elite Single Tom Holder</v>
      </c>
      <c r="BE22" s="156" t="s">
        <v>547</v>
      </c>
      <c r="BH22" s="14" t="s">
        <v>16</v>
      </c>
      <c r="BI22" s="14"/>
      <c r="BL22" s="156" t="s">
        <v>552</v>
      </c>
      <c r="BN22" s="33">
        <f t="shared" si="43"/>
        <v>0</v>
      </c>
      <c r="BO22" s="33">
        <f t="shared" si="24"/>
        <v>0</v>
      </c>
      <c r="BP22" s="222">
        <f t="shared" si="5"/>
        <v>0</v>
      </c>
      <c r="BQ22">
        <f t="shared" si="20"/>
        <v>0</v>
      </c>
      <c r="BR22">
        <f t="shared" si="6"/>
        <v>0</v>
      </c>
      <c r="BS22">
        <f t="shared" si="7"/>
        <v>0</v>
      </c>
      <c r="BT22">
        <f t="shared" si="8"/>
        <v>0</v>
      </c>
      <c r="BU22">
        <f t="shared" si="32"/>
        <v>0</v>
      </c>
      <c r="BV22">
        <f t="shared" si="9"/>
        <v>0</v>
      </c>
      <c r="BW22" s="121">
        <f t="shared" si="10"/>
        <v>0</v>
      </c>
      <c r="BX22" s="323">
        <f t="shared" si="11"/>
        <v>0</v>
      </c>
      <c r="BY22">
        <f t="shared" si="21"/>
        <v>0</v>
      </c>
      <c r="CA22" s="107">
        <f>+AZ26</f>
        <v>0</v>
      </c>
      <c r="CB22" s="109" t="s">
        <v>158</v>
      </c>
      <c r="CD22" s="133">
        <f t="shared" ref="CD22:CD35" si="52">+AL51</f>
        <v>0</v>
      </c>
      <c r="CE22" s="134" t="s">
        <v>372</v>
      </c>
      <c r="CG22" s="327">
        <f t="shared" si="46"/>
        <v>0</v>
      </c>
      <c r="CH22" s="138" t="s">
        <v>1133</v>
      </c>
      <c r="CJ22" s="120"/>
      <c r="CK22" s="122"/>
      <c r="CM22" s="120">
        <f>SUM(CM20:CM21)</f>
        <v>0</v>
      </c>
      <c r="CN22" s="138" t="s">
        <v>468</v>
      </c>
      <c r="CO22" s="121"/>
      <c r="CP22" s="120">
        <f>+AR47</f>
        <v>0</v>
      </c>
      <c r="CQ22" s="137" t="s">
        <v>105</v>
      </c>
      <c r="CS22" s="120">
        <f>SUM(BD46:BD48)</f>
        <v>0</v>
      </c>
      <c r="CT22" s="122" t="s">
        <v>489</v>
      </c>
      <c r="CV22" s="6" t="s">
        <v>348</v>
      </c>
      <c r="CW22" s="121">
        <f t="shared" si="33"/>
        <v>0</v>
      </c>
      <c r="CX22" s="121" t="s">
        <v>526</v>
      </c>
      <c r="CY22" s="121" t="e">
        <f t="shared" si="13"/>
        <v>#N/A</v>
      </c>
      <c r="CZ22" s="121" t="e">
        <f t="shared" si="14"/>
        <v>#N/A</v>
      </c>
      <c r="DA22" s="121" t="e">
        <f t="shared" si="15"/>
        <v>#N/A</v>
      </c>
      <c r="DB22" s="121" t="e">
        <f t="shared" si="16"/>
        <v>#N/A</v>
      </c>
      <c r="DC22" s="121" t="str">
        <f t="shared" si="17"/>
        <v xml:space="preserve"> Cstm  </v>
      </c>
      <c r="DD22" s="121" t="e">
        <f t="shared" si="18"/>
        <v>#N/A</v>
      </c>
      <c r="DE22" s="121" t="b">
        <f t="shared" si="26"/>
        <v>1</v>
      </c>
      <c r="DF22" s="162" t="str">
        <f t="shared" si="27"/>
        <v/>
      </c>
      <c r="DK22" s="217" t="s">
        <v>895</v>
      </c>
      <c r="DM22" t="s">
        <v>157</v>
      </c>
      <c r="DN22" s="39">
        <v>95</v>
      </c>
      <c r="DO22" s="219"/>
      <c r="ED22" s="89" t="s">
        <v>3</v>
      </c>
      <c r="EE22" s="3" t="e">
        <f>EE7</f>
        <v>#N/A</v>
      </c>
      <c r="EF22" s="3"/>
      <c r="EG22" s="89" t="s">
        <v>17</v>
      </c>
      <c r="EH22" s="3" t="e">
        <f>VLOOKUP(1,AZ39:BB40,3,FALSE)</f>
        <v>#N/A</v>
      </c>
      <c r="EJ22" t="s">
        <v>398</v>
      </c>
    </row>
    <row r="23" spans="1:140" x14ac:dyDescent="0.3">
      <c r="A23" s="391"/>
      <c r="B23" s="367"/>
      <c r="C23" s="378" t="s">
        <v>1250</v>
      </c>
      <c r="D23" s="75"/>
      <c r="E23" s="75"/>
      <c r="F23" s="95"/>
      <c r="G23" s="350" t="s">
        <v>1249</v>
      </c>
      <c r="H23" s="339"/>
      <c r="I23" s="51"/>
      <c r="J23" s="51"/>
      <c r="K23" s="99"/>
      <c r="L23" s="51" t="str">
        <f>IF(AZ16=1, "LR2992MT CHROME Classic Double",  "LR2992MT Classic Double Tom Holder")</f>
        <v>LR2992MT Classic Double Tom Holder</v>
      </c>
      <c r="M23" s="51"/>
      <c r="N23" s="51"/>
      <c r="O23" s="51"/>
      <c r="P23" s="59" t="s">
        <v>16</v>
      </c>
      <c r="Q23" s="272"/>
      <c r="R23" s="272"/>
      <c r="S23" s="272"/>
      <c r="T23" s="51"/>
      <c r="U23" s="368"/>
      <c r="V23" s="53"/>
      <c r="W23" s="53"/>
      <c r="X23" s="51"/>
      <c r="Y23" s="51"/>
      <c r="Z23" s="51"/>
      <c r="AA23" s="51"/>
      <c r="AB23" s="51"/>
      <c r="AC23" s="51"/>
      <c r="AD23"/>
      <c r="AE23" s="121"/>
      <c r="AF23" s="121"/>
      <c r="AG23" s="302" t="str">
        <f t="shared" ref="AG23:AG24" si="53">IF(AN23&gt;0,CONCATENATE("qty ",AN23,") ",AO23,"   "),"")</f>
        <v/>
      </c>
      <c r="AH23" s="121"/>
      <c r="AI23" s="121"/>
      <c r="AJ23" s="121"/>
      <c r="AK23" s="121" t="s">
        <v>211</v>
      </c>
      <c r="AL23" s="9">
        <f t="shared" si="29"/>
        <v>0</v>
      </c>
      <c r="AM23" s="16" t="b">
        <f t="shared" si="30"/>
        <v>0</v>
      </c>
      <c r="AN23" s="16">
        <f t="shared" si="31"/>
        <v>0</v>
      </c>
      <c r="AO23" s="303" t="s">
        <v>1117</v>
      </c>
      <c r="AP23" s="229">
        <v>1795</v>
      </c>
      <c r="AR23" s="13">
        <f t="shared" si="19"/>
        <v>0</v>
      </c>
      <c r="AS23" s="350" t="s">
        <v>1249</v>
      </c>
      <c r="AT23" s="35">
        <v>0</v>
      </c>
      <c r="AU23" s="35">
        <v>0</v>
      </c>
      <c r="AW23" s="300">
        <f t="shared" si="3"/>
        <v>0</v>
      </c>
      <c r="AX23" s="370" t="s">
        <v>1249</v>
      </c>
      <c r="AZ23" s="15">
        <f t="shared" si="45"/>
        <v>0</v>
      </c>
      <c r="BA23" s="39">
        <f t="shared" si="50"/>
        <v>100</v>
      </c>
      <c r="BB23" s="39">
        <f t="shared" si="51"/>
        <v>0</v>
      </c>
      <c r="BC23" s="3" t="str">
        <f>IF(AZ16=1, "CHROME Classic Double", "LR2992MT Classic Double Tom Holder")</f>
        <v>LR2992MT Classic Double Tom Holder</v>
      </c>
      <c r="BE23" s="156" t="s">
        <v>548</v>
      </c>
      <c r="BH23" s="9">
        <f t="shared" ref="BH23:BH28" si="54">IF(P24="",0,1)</f>
        <v>0</v>
      </c>
      <c r="BI23" s="43">
        <f>+BH23*0</f>
        <v>0</v>
      </c>
      <c r="BJ23" s="3" t="s">
        <v>173</v>
      </c>
      <c r="BL23" s="156" t="s">
        <v>545</v>
      </c>
      <c r="BN23" s="33">
        <f t="shared" si="43"/>
        <v>0</v>
      </c>
      <c r="BO23" s="33">
        <f t="shared" si="24"/>
        <v>0</v>
      </c>
      <c r="BP23" s="222">
        <f t="shared" si="5"/>
        <v>0</v>
      </c>
      <c r="BQ23">
        <f t="shared" si="20"/>
        <v>0</v>
      </c>
      <c r="BR23">
        <f t="shared" si="6"/>
        <v>0</v>
      </c>
      <c r="BS23">
        <f t="shared" si="7"/>
        <v>0</v>
      </c>
      <c r="BT23">
        <f t="shared" si="8"/>
        <v>0</v>
      </c>
      <c r="BU23">
        <f t="shared" si="32"/>
        <v>0</v>
      </c>
      <c r="BV23">
        <f t="shared" si="9"/>
        <v>0</v>
      </c>
      <c r="BW23" s="121">
        <f t="shared" si="10"/>
        <v>0</v>
      </c>
      <c r="BX23" s="323">
        <f t="shared" si="11"/>
        <v>0</v>
      </c>
      <c r="BY23">
        <f t="shared" si="21"/>
        <v>0</v>
      </c>
      <c r="CA23" s="107">
        <f>+AZ31</f>
        <v>0</v>
      </c>
      <c r="CB23" s="109" t="s">
        <v>159</v>
      </c>
      <c r="CD23" s="133">
        <f t="shared" si="52"/>
        <v>0</v>
      </c>
      <c r="CE23" s="134" t="s">
        <v>373</v>
      </c>
      <c r="CG23" s="327">
        <f t="shared" si="46"/>
        <v>0</v>
      </c>
      <c r="CH23" s="134" t="s">
        <v>1129</v>
      </c>
      <c r="CJ23" s="120" t="s">
        <v>450</v>
      </c>
      <c r="CK23" s="122"/>
      <c r="CM23" s="120"/>
      <c r="CN23" s="122"/>
      <c r="CO23" s="121"/>
      <c r="CP23" s="120">
        <f>+AR48</f>
        <v>0</v>
      </c>
      <c r="CQ23" s="137" t="s">
        <v>107</v>
      </c>
      <c r="CS23" s="120">
        <f>SUM(BJ49:BJ50)</f>
        <v>0</v>
      </c>
      <c r="CT23" s="122" t="s">
        <v>490</v>
      </c>
      <c r="CV23" s="303" t="s">
        <v>1117</v>
      </c>
      <c r="CW23" s="302">
        <f t="shared" si="33"/>
        <v>0</v>
      </c>
      <c r="CX23" s="308" t="s">
        <v>1125</v>
      </c>
      <c r="CY23" s="302" t="e">
        <f t="shared" si="13"/>
        <v>#N/A</v>
      </c>
      <c r="CZ23" s="302" t="e">
        <f t="shared" si="14"/>
        <v>#N/A</v>
      </c>
      <c r="DA23" s="302" t="e">
        <f t="shared" si="15"/>
        <v>#N/A</v>
      </c>
      <c r="DB23" s="302" t="e">
        <f t="shared" si="16"/>
        <v>#N/A</v>
      </c>
      <c r="DC23" s="302" t="str">
        <f t="shared" si="17"/>
        <v xml:space="preserve"> Cstm  </v>
      </c>
      <c r="DD23" s="302" t="e">
        <f t="shared" ref="DD23:DD24" si="55">CONCATENATE(CY23,CZ23,DA23,DB23,DC23)</f>
        <v>#N/A</v>
      </c>
      <c r="DE23" s="302" t="b">
        <f t="shared" ref="DE23:DE24" si="56">ISERROR(DD23)</f>
        <v>1</v>
      </c>
      <c r="DF23" s="306" t="str">
        <f t="shared" si="27"/>
        <v/>
      </c>
      <c r="DG23" s="70"/>
      <c r="DK23" s="217" t="s">
        <v>896</v>
      </c>
      <c r="DM23" t="s">
        <v>158</v>
      </c>
      <c r="DN23" s="39">
        <v>120</v>
      </c>
      <c r="DO23" s="219"/>
      <c r="ED23" s="89" t="s">
        <v>6</v>
      </c>
      <c r="EE23" s="3" t="e">
        <f>HLOOKUP(1,BA7:BC8,2,FALSE)</f>
        <v>#N/A</v>
      </c>
      <c r="EF23" s="3"/>
      <c r="EG23" s="89" t="s">
        <v>23</v>
      </c>
      <c r="EH23" s="3" t="e">
        <f>VLOOKUP(1,AZ58:BA60,2,FALSE)</f>
        <v>#N/A</v>
      </c>
      <c r="EJ23" t="s">
        <v>398</v>
      </c>
    </row>
    <row r="24" spans="1:140" ht="15" thickBot="1" x14ac:dyDescent="0.35">
      <c r="A24" s="391"/>
      <c r="B24" s="367"/>
      <c r="C24" s="379" t="s">
        <v>1250</v>
      </c>
      <c r="D24" s="77"/>
      <c r="E24" s="75"/>
      <c r="F24" s="95"/>
      <c r="G24" s="55" t="s">
        <v>331</v>
      </c>
      <c r="H24" s="339"/>
      <c r="I24" s="51"/>
      <c r="J24" s="51"/>
      <c r="K24" s="99"/>
      <c r="L24" s="51" t="str">
        <f>IF(AZ16=1, "P1610D CHROME Ludwig Casting", "P1610D Ludwig Bass Casting")</f>
        <v>P1610D Ludwig Bass Casting</v>
      </c>
      <c r="M24" s="51"/>
      <c r="N24" s="51"/>
      <c r="O24" s="51"/>
      <c r="P24" s="99"/>
      <c r="Q24" s="54" t="s">
        <v>173</v>
      </c>
      <c r="R24" s="51"/>
      <c r="S24" s="51"/>
      <c r="T24" s="51"/>
      <c r="U24" s="368"/>
      <c r="V24" s="53"/>
      <c r="W24" s="53"/>
      <c r="X24" s="51"/>
      <c r="Y24" s="51"/>
      <c r="Z24" s="51"/>
      <c r="AA24" s="51"/>
      <c r="AB24" s="51"/>
      <c r="AC24" s="51"/>
      <c r="AD24"/>
      <c r="AE24" s="32"/>
      <c r="AF24" s="32"/>
      <c r="AG24" s="227" t="str">
        <f t="shared" si="53"/>
        <v/>
      </c>
      <c r="AH24" s="32"/>
      <c r="AI24" s="32"/>
      <c r="AJ24" s="32"/>
      <c r="AK24" s="32" t="s">
        <v>211</v>
      </c>
      <c r="AL24" s="9">
        <f t="shared" si="29"/>
        <v>0</v>
      </c>
      <c r="AM24" s="34" t="b">
        <f t="shared" si="30"/>
        <v>0</v>
      </c>
      <c r="AN24" s="34">
        <f t="shared" si="31"/>
        <v>0</v>
      </c>
      <c r="AO24" s="305" t="s">
        <v>1118</v>
      </c>
      <c r="AP24" s="229">
        <v>1795</v>
      </c>
      <c r="AR24" s="13">
        <f t="shared" si="19"/>
        <v>0</v>
      </c>
      <c r="AS24" s="55" t="s">
        <v>331</v>
      </c>
      <c r="AT24" s="35">
        <v>0</v>
      </c>
      <c r="AU24" s="35">
        <v>0</v>
      </c>
      <c r="AW24" s="300">
        <f t="shared" si="3"/>
        <v>0</v>
      </c>
      <c r="AX24" s="52" t="s">
        <v>331</v>
      </c>
      <c r="AZ24" s="15">
        <f t="shared" si="45"/>
        <v>0</v>
      </c>
      <c r="BA24" s="39">
        <f t="shared" si="50"/>
        <v>50</v>
      </c>
      <c r="BB24" s="39">
        <f t="shared" si="51"/>
        <v>0</v>
      </c>
      <c r="BC24" s="3" t="str">
        <f>IF(AZ16=1, "CHROME Ludwig Casting", "P1610D Ludwig Bass Casting")</f>
        <v>P1610D Ludwig Bass Casting</v>
      </c>
      <c r="BE24" s="156" t="s">
        <v>27</v>
      </c>
      <c r="BH24" s="9">
        <f t="shared" si="54"/>
        <v>0</v>
      </c>
      <c r="BI24" s="43">
        <f>+BH24*DN38</f>
        <v>0</v>
      </c>
      <c r="BJ24" s="3" t="s">
        <v>174</v>
      </c>
      <c r="BL24" s="156" t="s">
        <v>642</v>
      </c>
      <c r="BN24" s="33">
        <f t="shared" si="43"/>
        <v>0</v>
      </c>
      <c r="BO24" s="33">
        <f t="shared" si="24"/>
        <v>0</v>
      </c>
      <c r="BP24" s="34">
        <f t="shared" si="5"/>
        <v>0</v>
      </c>
      <c r="BQ24" s="32">
        <f t="shared" si="20"/>
        <v>0</v>
      </c>
      <c r="BR24" s="32">
        <f t="shared" si="6"/>
        <v>0</v>
      </c>
      <c r="BS24" s="32">
        <f t="shared" si="7"/>
        <v>0</v>
      </c>
      <c r="BT24" s="32">
        <f t="shared" si="8"/>
        <v>0</v>
      </c>
      <c r="BU24" s="32">
        <f>+$BA$12 + $BE$13</f>
        <v>0</v>
      </c>
      <c r="BV24" s="32">
        <f t="shared" si="9"/>
        <v>0</v>
      </c>
      <c r="BW24" s="32">
        <f t="shared" si="10"/>
        <v>0</v>
      </c>
      <c r="BX24" s="323">
        <f t="shared" si="11"/>
        <v>0</v>
      </c>
      <c r="BY24">
        <f t="shared" si="21"/>
        <v>0</v>
      </c>
      <c r="CA24" s="107">
        <f>SUM(CA21:CA23)</f>
        <v>0</v>
      </c>
      <c r="CB24" s="109" t="s">
        <v>416</v>
      </c>
      <c r="CD24" s="133">
        <f t="shared" si="52"/>
        <v>0</v>
      </c>
      <c r="CE24" s="134" t="s">
        <v>349</v>
      </c>
      <c r="CG24" s="327">
        <f t="shared" si="46"/>
        <v>0</v>
      </c>
      <c r="CH24" s="138" t="s">
        <v>215</v>
      </c>
      <c r="CJ24" s="120">
        <f>+BC7</f>
        <v>0</v>
      </c>
      <c r="CK24" s="138" t="s">
        <v>451</v>
      </c>
      <c r="CM24" s="120">
        <f>+AL62</f>
        <v>0</v>
      </c>
      <c r="CN24" s="138" t="s">
        <v>376</v>
      </c>
      <c r="CO24" s="121"/>
      <c r="CP24" s="120">
        <f>+AR55</f>
        <v>0</v>
      </c>
      <c r="CQ24" s="137" t="s">
        <v>115</v>
      </c>
      <c r="CS24" s="123">
        <f>+CS23*CS22</f>
        <v>0</v>
      </c>
      <c r="CT24" s="124" t="s">
        <v>444</v>
      </c>
      <c r="CV24" s="309" t="s">
        <v>1118</v>
      </c>
      <c r="CW24" s="307">
        <f t="shared" si="33"/>
        <v>0</v>
      </c>
      <c r="CX24" s="310" t="s">
        <v>1126</v>
      </c>
      <c r="CY24" s="307" t="e">
        <f t="shared" si="13"/>
        <v>#N/A</v>
      </c>
      <c r="CZ24" s="307" t="e">
        <f t="shared" si="14"/>
        <v>#N/A</v>
      </c>
      <c r="DA24" s="307" t="e">
        <f t="shared" si="15"/>
        <v>#N/A</v>
      </c>
      <c r="DB24" s="307" t="e">
        <f t="shared" si="16"/>
        <v>#N/A</v>
      </c>
      <c r="DC24" s="307" t="str">
        <f t="shared" si="17"/>
        <v xml:space="preserve"> Cstm  </v>
      </c>
      <c r="DD24" s="307" t="e">
        <f t="shared" si="55"/>
        <v>#N/A</v>
      </c>
      <c r="DE24" s="307" t="b">
        <f t="shared" si="56"/>
        <v>1</v>
      </c>
      <c r="DF24" s="312" t="str">
        <f t="shared" si="27"/>
        <v/>
      </c>
      <c r="DG24" s="307"/>
      <c r="DH24" s="311" t="str">
        <f>CONCATENATE(DF3,DF4,DF5,DF6,DF7,DF8,DF9,DF10,DF11,DF12,DF13,DF14,DF15,DF16,DF17,DF18,DF19,DF20,DF21,DF22,DF23,DF24)</f>
        <v/>
      </c>
      <c r="DK24" s="217" t="s">
        <v>897</v>
      </c>
      <c r="DM24" s="51" t="s">
        <v>992</v>
      </c>
      <c r="DN24" s="39">
        <v>150</v>
      </c>
      <c r="DO24" s="219"/>
      <c r="ED24" s="89" t="s">
        <v>149</v>
      </c>
      <c r="EE24" s="3" t="e">
        <f>+EE11</f>
        <v>#N/A</v>
      </c>
      <c r="EF24" s="3"/>
      <c r="EG24" s="89" t="s">
        <v>387</v>
      </c>
      <c r="EH24" s="3" t="str">
        <f>IF(BD16=1,"No Reso Head",VLOOKUP(1,BE60:BF60,2,FALSE))</f>
        <v>Clear Ambassador</v>
      </c>
      <c r="EJ24" t="s">
        <v>398</v>
      </c>
    </row>
    <row r="25" spans="1:140" ht="15" customHeight="1" x14ac:dyDescent="0.3">
      <c r="A25" s="391" t="s">
        <v>321</v>
      </c>
      <c r="B25" s="226"/>
      <c r="C25" s="72" t="s">
        <v>58</v>
      </c>
      <c r="D25" s="73"/>
      <c r="E25" s="80"/>
      <c r="F25" s="95"/>
      <c r="G25" s="55" t="s">
        <v>118</v>
      </c>
      <c r="H25" s="339"/>
      <c r="I25" s="51"/>
      <c r="J25" s="51"/>
      <c r="K25" s="99"/>
      <c r="L25" s="51" t="str">
        <f>IF(AZ16=1, "LR2981MT CHROME Rocker Single",  "LR2981MT Rocker Single Tom Holder")</f>
        <v>LR2981MT Rocker Single Tom Holder</v>
      </c>
      <c r="M25" s="51"/>
      <c r="N25" s="51"/>
      <c r="O25" s="51"/>
      <c r="P25" s="99"/>
      <c r="Q25" s="51" t="s">
        <v>174</v>
      </c>
      <c r="R25" s="51"/>
      <c r="S25" s="51"/>
      <c r="T25" s="51"/>
      <c r="U25" s="368"/>
      <c r="V25" s="53"/>
      <c r="W25" s="53"/>
      <c r="X25" s="51"/>
      <c r="Y25" s="51"/>
      <c r="Z25" s="51"/>
      <c r="AA25" s="51"/>
      <c r="AB25" s="51"/>
      <c r="AC25" s="51"/>
      <c r="AD25"/>
      <c r="AE25" s="121"/>
      <c r="AF25" s="121"/>
      <c r="AG25" s="302" t="str">
        <f t="shared" si="28"/>
        <v/>
      </c>
      <c r="AH25" s="121"/>
      <c r="AI25" s="121"/>
      <c r="AJ25" s="121"/>
      <c r="AK25" s="304" t="s">
        <v>212</v>
      </c>
      <c r="AL25" s="172">
        <f t="shared" si="29"/>
        <v>0</v>
      </c>
      <c r="AM25" s="16" t="b">
        <f t="shared" si="30"/>
        <v>0</v>
      </c>
      <c r="AN25" s="16">
        <f t="shared" si="31"/>
        <v>0</v>
      </c>
      <c r="AO25" s="6" t="s">
        <v>349</v>
      </c>
      <c r="AP25" s="229">
        <v>845</v>
      </c>
      <c r="AR25" s="13">
        <f t="shared" si="19"/>
        <v>0</v>
      </c>
      <c r="AS25" s="55" t="s">
        <v>118</v>
      </c>
      <c r="AT25" s="35">
        <v>0</v>
      </c>
      <c r="AU25" s="35">
        <v>0</v>
      </c>
      <c r="AW25" s="300">
        <f t="shared" si="3"/>
        <v>0</v>
      </c>
      <c r="AX25" s="52" t="s">
        <v>118</v>
      </c>
      <c r="AZ25" s="15">
        <f t="shared" si="45"/>
        <v>0</v>
      </c>
      <c r="BA25" s="39">
        <f t="shared" si="50"/>
        <v>95</v>
      </c>
      <c r="BB25" s="39">
        <f t="shared" si="51"/>
        <v>0</v>
      </c>
      <c r="BC25" s="3" t="str">
        <f>IF(AZ16=1, "CHROME Rocker Single",  "LR2981MT Rocker Single Tom Holder")</f>
        <v>LR2981MT Rocker Single Tom Holder</v>
      </c>
      <c r="BE25" s="156" t="s">
        <v>28</v>
      </c>
      <c r="BH25" s="9">
        <f t="shared" si="54"/>
        <v>0</v>
      </c>
      <c r="BI25" s="43">
        <f>+BH25*DN39</f>
        <v>0</v>
      </c>
      <c r="BJ25" s="3" t="s">
        <v>175</v>
      </c>
      <c r="BL25" s="156" t="s">
        <v>545</v>
      </c>
      <c r="BN25" s="33">
        <f t="shared" si="43"/>
        <v>0</v>
      </c>
      <c r="BO25" s="33">
        <f t="shared" si="24"/>
        <v>0</v>
      </c>
      <c r="BP25" s="2">
        <f t="shared" si="5"/>
        <v>0</v>
      </c>
      <c r="BQ25">
        <f t="shared" ref="BQ25:BQ34" si="57">+$BH$6</f>
        <v>0</v>
      </c>
      <c r="BR25" s="42">
        <f t="shared" ref="BR25:BR34" si="58">+$BI$39</f>
        <v>0</v>
      </c>
      <c r="BS25" s="42">
        <f t="shared" ref="BS25:BS60" si="59">+$BA$41</f>
        <v>0</v>
      </c>
      <c r="BV25">
        <f t="shared" si="9"/>
        <v>0</v>
      </c>
      <c r="BW25" s="121">
        <f t="shared" si="10"/>
        <v>0</v>
      </c>
      <c r="BX25" s="121"/>
      <c r="BY25">
        <f t="shared" si="21"/>
        <v>0</v>
      </c>
      <c r="CA25" s="107"/>
      <c r="CB25" s="107"/>
      <c r="CD25" s="133">
        <f t="shared" si="52"/>
        <v>0</v>
      </c>
      <c r="CE25" s="134" t="s">
        <v>350</v>
      </c>
      <c r="CG25" s="327">
        <f t="shared" si="46"/>
        <v>0</v>
      </c>
      <c r="CH25" s="138" t="s">
        <v>216</v>
      </c>
      <c r="CJ25" s="120">
        <f>AL35</f>
        <v>0</v>
      </c>
      <c r="CK25" s="138" t="s">
        <v>1119</v>
      </c>
      <c r="CM25" s="120">
        <f>+AL64</f>
        <v>0</v>
      </c>
      <c r="CN25" s="138" t="s">
        <v>378</v>
      </c>
      <c r="CO25" s="121"/>
      <c r="CP25" s="120">
        <f>SUM(CP22:CP24)</f>
        <v>0</v>
      </c>
      <c r="CQ25" s="137" t="s">
        <v>478</v>
      </c>
      <c r="CS25" s="120"/>
      <c r="CT25" s="122"/>
      <c r="CV25" s="6" t="s">
        <v>349</v>
      </c>
      <c r="CW25" s="121">
        <f t="shared" si="33"/>
        <v>0</v>
      </c>
      <c r="CX25" s="42" t="s">
        <v>527</v>
      </c>
      <c r="CY25" s="121" t="e">
        <f t="shared" si="13"/>
        <v>#N/A</v>
      </c>
      <c r="CZ25" s="121" t="e">
        <f>VLOOKUP(1,$BH$35:$BL$38,5,FALSE)</f>
        <v>#N/A</v>
      </c>
      <c r="DA25" s="121" t="e">
        <f t="shared" si="15"/>
        <v>#N/A</v>
      </c>
      <c r="DB25" s="121" t="e">
        <f t="shared" ref="DB25:DB34" si="60">IF($CZ$73=1,"",VLOOKUP(1,$CZ$74:$DA$75,2,FALSE))</f>
        <v>#N/A</v>
      </c>
      <c r="DC25" s="121" t="str">
        <f t="shared" si="17"/>
        <v xml:space="preserve"> Cstm  </v>
      </c>
      <c r="DD25" s="121" t="e">
        <f t="shared" si="18"/>
        <v>#N/A</v>
      </c>
      <c r="DE25" s="121" t="b">
        <f t="shared" si="26"/>
        <v>1</v>
      </c>
      <c r="DF25" s="162" t="str">
        <f t="shared" si="27"/>
        <v/>
      </c>
      <c r="DK25" s="217" t="s">
        <v>898</v>
      </c>
      <c r="DM25" t="s">
        <v>1135</v>
      </c>
      <c r="DN25" s="39">
        <v>50</v>
      </c>
      <c r="ED25" s="89" t="s">
        <v>16</v>
      </c>
      <c r="EE25" s="3" t="e">
        <f>VLOOKUP(1,BH23:BJ28,3,FALSE)</f>
        <v>#N/A</v>
      </c>
      <c r="EF25" s="3"/>
      <c r="EG25" s="89" t="s">
        <v>33</v>
      </c>
      <c r="EH25" s="3" t="e">
        <f>IF((BH24+BH26)*AN73&gt;0,CONCATENATE(EH15," (X2)"),EH15)</f>
        <v>#N/A</v>
      </c>
      <c r="EJ25" t="s">
        <v>398</v>
      </c>
    </row>
    <row r="26" spans="1:140" ht="15" thickBot="1" x14ac:dyDescent="0.35">
      <c r="A26" s="391"/>
      <c r="B26" s="94"/>
      <c r="C26" s="153" t="s">
        <v>59</v>
      </c>
      <c r="D26" s="75"/>
      <c r="E26" s="80"/>
      <c r="F26" s="95"/>
      <c r="G26" s="55" t="s">
        <v>123</v>
      </c>
      <c r="H26" s="339"/>
      <c r="I26" s="51"/>
      <c r="J26" s="51"/>
      <c r="K26" s="99"/>
      <c r="L26" s="51" t="str">
        <f>IF(AZ16=1, "LR2980MT CHROME Rocker Double", "LR2980MT Rocker Double Tom Holder")</f>
        <v>LR2980MT Rocker Double Tom Holder</v>
      </c>
      <c r="M26" s="51"/>
      <c r="N26" s="51"/>
      <c r="O26" s="51"/>
      <c r="P26" s="99"/>
      <c r="Q26" s="51" t="s">
        <v>175</v>
      </c>
      <c r="R26" s="51"/>
      <c r="S26" s="51"/>
      <c r="T26" s="51"/>
      <c r="U26" s="368"/>
      <c r="V26" s="53"/>
      <c r="W26" s="53"/>
      <c r="X26" s="51"/>
      <c r="Y26" s="51"/>
      <c r="Z26" s="51"/>
      <c r="AA26" s="51"/>
      <c r="AB26" s="51"/>
      <c r="AC26" s="51"/>
      <c r="AD26"/>
      <c r="AG26" s="70" t="str">
        <f t="shared" si="28"/>
        <v/>
      </c>
      <c r="AK26" s="90" t="s">
        <v>212</v>
      </c>
      <c r="AL26" s="9">
        <f t="shared" si="29"/>
        <v>0</v>
      </c>
      <c r="AM26" s="16" t="b">
        <f t="shared" si="30"/>
        <v>0</v>
      </c>
      <c r="AN26" s="16">
        <f t="shared" si="31"/>
        <v>0</v>
      </c>
      <c r="AO26" s="3" t="s">
        <v>350</v>
      </c>
      <c r="AP26" s="229">
        <v>845</v>
      </c>
      <c r="AR26" s="13">
        <f t="shared" si="19"/>
        <v>0</v>
      </c>
      <c r="AS26" s="55" t="s">
        <v>123</v>
      </c>
      <c r="AT26" s="35">
        <v>0</v>
      </c>
      <c r="AU26" s="35">
        <v>0</v>
      </c>
      <c r="AW26" s="300">
        <f t="shared" si="3"/>
        <v>0</v>
      </c>
      <c r="AX26" s="52" t="s">
        <v>123</v>
      </c>
      <c r="AZ26" s="15">
        <f t="shared" si="45"/>
        <v>0</v>
      </c>
      <c r="BA26" s="39">
        <f t="shared" si="50"/>
        <v>120</v>
      </c>
      <c r="BB26" s="39">
        <f t="shared" si="51"/>
        <v>0</v>
      </c>
      <c r="BC26" s="3" t="str">
        <f>IF(AZ16=1, "CHROME Rocker Double", "LR2980MT Rocker Double Tom Holder")</f>
        <v>LR2980MT Rocker Double Tom Holder</v>
      </c>
      <c r="BE26" s="156" t="s">
        <v>8</v>
      </c>
      <c r="BH26" s="9">
        <f t="shared" si="54"/>
        <v>0</v>
      </c>
      <c r="BI26" s="43">
        <f>+BH26*DN40</f>
        <v>0</v>
      </c>
      <c r="BJ26" s="3" t="s">
        <v>176</v>
      </c>
      <c r="BL26" s="156" t="s">
        <v>643</v>
      </c>
      <c r="BN26" s="33">
        <f t="shared" si="43"/>
        <v>0</v>
      </c>
      <c r="BO26" s="33">
        <f t="shared" si="24"/>
        <v>0</v>
      </c>
      <c r="BP26" s="2">
        <f t="shared" si="5"/>
        <v>0</v>
      </c>
      <c r="BQ26">
        <f t="shared" si="57"/>
        <v>0</v>
      </c>
      <c r="BR26" s="42">
        <f t="shared" si="58"/>
        <v>0</v>
      </c>
      <c r="BS26" s="42">
        <f t="shared" si="59"/>
        <v>0</v>
      </c>
      <c r="BV26">
        <f t="shared" si="9"/>
        <v>0</v>
      </c>
      <c r="BW26" s="121">
        <f t="shared" si="10"/>
        <v>0</v>
      </c>
      <c r="BX26" s="121"/>
      <c r="BY26">
        <f t="shared" si="21"/>
        <v>0</v>
      </c>
      <c r="CA26" s="108" t="s">
        <v>415</v>
      </c>
      <c r="CB26" s="110"/>
      <c r="CD26" s="133">
        <f t="shared" si="52"/>
        <v>0</v>
      </c>
      <c r="CE26" s="134" t="s">
        <v>351</v>
      </c>
      <c r="CG26" s="327">
        <f t="shared" si="46"/>
        <v>0</v>
      </c>
      <c r="CH26" s="138" t="s">
        <v>135</v>
      </c>
      <c r="CJ26" s="120">
        <f>+AL37</f>
        <v>0</v>
      </c>
      <c r="CK26" s="138" t="s">
        <v>360</v>
      </c>
      <c r="CM26" s="120">
        <f>SUM(CM24:CM25)</f>
        <v>0</v>
      </c>
      <c r="CN26" s="138" t="s">
        <v>469</v>
      </c>
      <c r="CO26" s="121"/>
      <c r="CP26" s="120"/>
      <c r="CQ26" s="137"/>
      <c r="CS26" s="120">
        <f>+BD49</f>
        <v>0</v>
      </c>
      <c r="CT26" s="122" t="s">
        <v>20</v>
      </c>
      <c r="CV26" s="3" t="s">
        <v>350</v>
      </c>
      <c r="CW26">
        <f t="shared" si="33"/>
        <v>0</v>
      </c>
      <c r="CX26" s="42" t="s">
        <v>528</v>
      </c>
      <c r="CY26" t="e">
        <f t="shared" si="13"/>
        <v>#N/A</v>
      </c>
      <c r="CZ26" t="e">
        <f t="shared" ref="CZ26:CZ34" si="61">VLOOKUP(1,$BH$35:$BL$38,5,FALSE)</f>
        <v>#N/A</v>
      </c>
      <c r="DA26" t="e">
        <f t="shared" si="15"/>
        <v>#N/A</v>
      </c>
      <c r="DB26" t="e">
        <f t="shared" si="60"/>
        <v>#N/A</v>
      </c>
      <c r="DC26" t="str">
        <f t="shared" si="17"/>
        <v xml:space="preserve"> Cstm  </v>
      </c>
      <c r="DD26" t="e">
        <f t="shared" si="18"/>
        <v>#N/A</v>
      </c>
      <c r="DE26" t="b">
        <f t="shared" si="26"/>
        <v>1</v>
      </c>
      <c r="DF26" s="162" t="str">
        <f t="shared" si="27"/>
        <v/>
      </c>
      <c r="DK26" s="217" t="s">
        <v>899</v>
      </c>
      <c r="DM26" s="51" t="s">
        <v>993</v>
      </c>
      <c r="DN26" s="39">
        <v>153</v>
      </c>
      <c r="DO26" s="219"/>
      <c r="EE26" s="3"/>
      <c r="EF26" s="3"/>
      <c r="EG26" s="3"/>
      <c r="EH26" s="3"/>
      <c r="EJ26" t="s">
        <v>398</v>
      </c>
    </row>
    <row r="27" spans="1:140" ht="15.6" x14ac:dyDescent="0.3">
      <c r="A27" s="391"/>
      <c r="B27" s="94"/>
      <c r="C27" s="74" t="s">
        <v>60</v>
      </c>
      <c r="D27" s="75"/>
      <c r="E27" s="80"/>
      <c r="F27" s="95"/>
      <c r="G27" s="347" t="s">
        <v>1250</v>
      </c>
      <c r="H27" s="381"/>
      <c r="I27" s="51"/>
      <c r="J27" s="51"/>
      <c r="K27" s="99"/>
      <c r="L27" s="51" t="str">
        <f>IF(AZ16=1, "LAC2983MT CHROME Atlas Arch",  "LAC2983MT Atlas Arch Single")</f>
        <v>LAC2983MT Atlas Arch Single</v>
      </c>
      <c r="M27" s="51"/>
      <c r="N27" s="51"/>
      <c r="O27" s="51"/>
      <c r="P27" s="99"/>
      <c r="Q27" s="51" t="s">
        <v>176</v>
      </c>
      <c r="R27" s="51"/>
      <c r="S27" s="51"/>
      <c r="T27" s="51"/>
      <c r="U27" s="368"/>
      <c r="V27" s="53"/>
      <c r="W27" s="53"/>
      <c r="X27" s="51"/>
      <c r="Y27" s="51"/>
      <c r="Z27" s="51"/>
      <c r="AA27" s="51"/>
      <c r="AB27" s="51"/>
      <c r="AC27" s="51"/>
      <c r="AD27" s="3"/>
      <c r="AG27" s="70" t="str">
        <f t="shared" si="28"/>
        <v/>
      </c>
      <c r="AK27" s="90" t="s">
        <v>212</v>
      </c>
      <c r="AL27" s="9">
        <f t="shared" si="29"/>
        <v>0</v>
      </c>
      <c r="AM27" s="16" t="b">
        <f t="shared" si="30"/>
        <v>0</v>
      </c>
      <c r="AN27" s="16">
        <f t="shared" si="31"/>
        <v>0</v>
      </c>
      <c r="AO27" s="3" t="s">
        <v>351</v>
      </c>
      <c r="AP27" s="229">
        <v>845</v>
      </c>
      <c r="AR27" s="13">
        <f t="shared" si="19"/>
        <v>0</v>
      </c>
      <c r="AS27" s="347" t="s">
        <v>1250</v>
      </c>
      <c r="AT27" s="35">
        <v>0</v>
      </c>
      <c r="AU27" s="35">
        <v>0</v>
      </c>
      <c r="AW27" s="300">
        <f t="shared" si="3"/>
        <v>0</v>
      </c>
      <c r="AX27" s="297"/>
      <c r="AZ27" s="15">
        <f t="shared" si="45"/>
        <v>0</v>
      </c>
      <c r="BA27" s="39">
        <v>150</v>
      </c>
      <c r="BB27" s="39">
        <f t="shared" si="51"/>
        <v>0</v>
      </c>
      <c r="BC27" s="51" t="str">
        <f>IF(AZ16=1, "CHROME Atlas Arch", "LAC2983MT Atlas Arch Single")</f>
        <v>LAC2983MT Atlas Arch Single</v>
      </c>
      <c r="BE27" s="156" t="s">
        <v>995</v>
      </c>
      <c r="BH27" s="9">
        <f t="shared" si="54"/>
        <v>0</v>
      </c>
      <c r="BI27" s="43">
        <f>+BH27*DN41</f>
        <v>0</v>
      </c>
      <c r="BJ27" s="3" t="s">
        <v>177</v>
      </c>
      <c r="BL27" s="156" t="s">
        <v>545</v>
      </c>
      <c r="BN27" s="33">
        <f t="shared" si="43"/>
        <v>0</v>
      </c>
      <c r="BO27" s="33">
        <f t="shared" si="24"/>
        <v>0</v>
      </c>
      <c r="BP27" s="2">
        <f t="shared" si="5"/>
        <v>0</v>
      </c>
      <c r="BQ27">
        <f t="shared" si="57"/>
        <v>0</v>
      </c>
      <c r="BR27" s="42">
        <f t="shared" si="58"/>
        <v>0</v>
      </c>
      <c r="BS27" s="42">
        <f t="shared" si="59"/>
        <v>0</v>
      </c>
      <c r="BV27">
        <f t="shared" si="9"/>
        <v>0</v>
      </c>
      <c r="BW27" s="121">
        <f t="shared" si="10"/>
        <v>0</v>
      </c>
      <c r="BX27" s="121"/>
      <c r="BY27">
        <f t="shared" si="21"/>
        <v>0</v>
      </c>
      <c r="CA27" s="107">
        <f>+BH28</f>
        <v>0</v>
      </c>
      <c r="CB27" s="109" t="s">
        <v>178</v>
      </c>
      <c r="CD27" s="133">
        <f t="shared" si="52"/>
        <v>0</v>
      </c>
      <c r="CE27" s="134" t="s">
        <v>374</v>
      </c>
      <c r="CG27" s="327">
        <f t="shared" si="46"/>
        <v>0</v>
      </c>
      <c r="CH27" s="138" t="s">
        <v>136</v>
      </c>
      <c r="CJ27" s="120">
        <f>+AL39+AL40</f>
        <v>0</v>
      </c>
      <c r="CK27" s="138" t="s">
        <v>1169</v>
      </c>
      <c r="CM27" s="120"/>
      <c r="CN27" s="138"/>
      <c r="CO27" s="121"/>
      <c r="CP27" s="123">
        <f>+CP25*CP20</f>
        <v>0</v>
      </c>
      <c r="CQ27" s="145" t="s">
        <v>444</v>
      </c>
      <c r="CS27" s="120">
        <f>+BJ47+BJ48+BJ50</f>
        <v>0</v>
      </c>
      <c r="CT27" s="122" t="s">
        <v>491</v>
      </c>
      <c r="CV27" s="3" t="s">
        <v>351</v>
      </c>
      <c r="CW27">
        <f t="shared" si="33"/>
        <v>0</v>
      </c>
      <c r="CX27" s="42" t="s">
        <v>529</v>
      </c>
      <c r="CY27" t="e">
        <f t="shared" si="13"/>
        <v>#N/A</v>
      </c>
      <c r="CZ27" t="e">
        <f t="shared" si="61"/>
        <v>#N/A</v>
      </c>
      <c r="DA27" t="e">
        <f t="shared" si="15"/>
        <v>#N/A</v>
      </c>
      <c r="DB27" t="e">
        <f t="shared" si="60"/>
        <v>#N/A</v>
      </c>
      <c r="DC27" t="str">
        <f t="shared" si="17"/>
        <v xml:space="preserve"> Cstm  </v>
      </c>
      <c r="DD27" t="e">
        <f t="shared" si="18"/>
        <v>#N/A</v>
      </c>
      <c r="DE27" t="b">
        <f t="shared" si="26"/>
        <v>1</v>
      </c>
      <c r="DF27" s="162" t="str">
        <f t="shared" si="27"/>
        <v/>
      </c>
      <c r="DK27" s="217" t="s">
        <v>900</v>
      </c>
      <c r="DM27" s="51" t="s">
        <v>994</v>
      </c>
      <c r="DN27" s="39">
        <v>123</v>
      </c>
      <c r="DO27" s="219"/>
      <c r="ED27" s="66" t="str">
        <f>IF(AN72=1,"Floor Tom",CONCATENATE(AN72," Floor Toms Chosen"))</f>
        <v>0 Floor Toms Chosen</v>
      </c>
      <c r="EE27" s="187" t="s">
        <v>639</v>
      </c>
      <c r="EF27" s="3"/>
      <c r="EG27" s="3"/>
      <c r="EH27" s="3"/>
      <c r="EJ27" t="s">
        <v>398</v>
      </c>
    </row>
    <row r="28" spans="1:140" ht="15" customHeight="1" x14ac:dyDescent="0.3">
      <c r="A28" s="391"/>
      <c r="B28" s="94"/>
      <c r="C28" s="74" t="s">
        <v>61</v>
      </c>
      <c r="D28" s="75"/>
      <c r="E28" s="75"/>
      <c r="F28" s="98"/>
      <c r="G28" s="347" t="s">
        <v>1250</v>
      </c>
      <c r="H28" s="381"/>
      <c r="I28" s="51"/>
      <c r="J28" s="51"/>
      <c r="K28" s="116"/>
      <c r="L28" s="338" t="str">
        <f>IF(AZ16=1, "PM0062MT CHROME Atlas Bracket",  "PM0062MT Atlas Bass Casting")</f>
        <v>PM0062MT Atlas Bass Casting</v>
      </c>
      <c r="O28" s="51"/>
      <c r="P28" s="99"/>
      <c r="Q28" s="51" t="s">
        <v>177</v>
      </c>
      <c r="R28" s="51"/>
      <c r="S28" s="51"/>
      <c r="T28" s="51"/>
      <c r="U28" s="368"/>
      <c r="V28" s="53"/>
      <c r="W28" s="53"/>
      <c r="X28" s="51"/>
      <c r="Y28" s="51"/>
      <c r="Z28" s="51"/>
      <c r="AA28" s="51"/>
      <c r="AB28" s="51"/>
      <c r="AC28" s="51"/>
      <c r="AD28" s="3"/>
      <c r="AG28" s="70" t="str">
        <f t="shared" si="28"/>
        <v/>
      </c>
      <c r="AK28" s="90" t="s">
        <v>212</v>
      </c>
      <c r="AL28" s="9">
        <f t="shared" si="29"/>
        <v>0</v>
      </c>
      <c r="AM28" s="16" t="b">
        <f t="shared" si="30"/>
        <v>0</v>
      </c>
      <c r="AN28" s="16">
        <f t="shared" si="31"/>
        <v>0</v>
      </c>
      <c r="AO28" s="3" t="s">
        <v>352</v>
      </c>
      <c r="AP28" s="24">
        <v>874</v>
      </c>
      <c r="AR28" s="13">
        <f t="shared" si="19"/>
        <v>0</v>
      </c>
      <c r="AS28" s="347" t="s">
        <v>1250</v>
      </c>
      <c r="AT28" s="35">
        <v>0</v>
      </c>
      <c r="AU28" s="35">
        <v>0</v>
      </c>
      <c r="AW28" s="300">
        <f t="shared" si="3"/>
        <v>0</v>
      </c>
      <c r="AX28" s="297"/>
      <c r="AZ28" s="15">
        <f t="shared" si="45"/>
        <v>0</v>
      </c>
      <c r="BA28" s="39">
        <f t="shared" si="50"/>
        <v>50</v>
      </c>
      <c r="BB28" s="39">
        <f t="shared" si="51"/>
        <v>0</v>
      </c>
      <c r="BC28" s="3" t="str">
        <f>IF(AZ16=1, "CHROME Atlas Bracket", "PM0062MT Atlas Bracket")</f>
        <v>PM0062MT Atlas Bracket</v>
      </c>
      <c r="BE28" s="156" t="s">
        <v>551</v>
      </c>
      <c r="BH28" s="9">
        <f t="shared" si="54"/>
        <v>0</v>
      </c>
      <c r="BI28" s="43">
        <f>+BH28*DN42</f>
        <v>0</v>
      </c>
      <c r="BJ28" s="3" t="s">
        <v>328</v>
      </c>
      <c r="BL28" s="156" t="s">
        <v>644</v>
      </c>
      <c r="BN28" s="33">
        <f t="shared" si="43"/>
        <v>0</v>
      </c>
      <c r="BO28" s="33">
        <f t="shared" si="24"/>
        <v>0</v>
      </c>
      <c r="BP28" s="2">
        <f t="shared" si="5"/>
        <v>0</v>
      </c>
      <c r="BQ28">
        <f t="shared" si="57"/>
        <v>0</v>
      </c>
      <c r="BR28" s="42">
        <f t="shared" si="58"/>
        <v>0</v>
      </c>
      <c r="BS28" s="42">
        <f t="shared" si="59"/>
        <v>0</v>
      </c>
      <c r="BV28">
        <f t="shared" si="9"/>
        <v>0</v>
      </c>
      <c r="BW28" s="121">
        <f t="shared" si="10"/>
        <v>0</v>
      </c>
      <c r="BX28" s="121"/>
      <c r="BY28">
        <f t="shared" si="21"/>
        <v>0</v>
      </c>
      <c r="CA28" s="107"/>
      <c r="CB28" s="109"/>
      <c r="CD28" s="133">
        <f t="shared" si="52"/>
        <v>0</v>
      </c>
      <c r="CE28" s="134" t="s">
        <v>352</v>
      </c>
      <c r="CG28" s="327">
        <f t="shared" si="46"/>
        <v>0</v>
      </c>
      <c r="CH28" s="122" t="s">
        <v>1008</v>
      </c>
      <c r="CJ28" s="120">
        <f>SUM(CJ25:CJ27)</f>
        <v>0</v>
      </c>
      <c r="CK28" s="138" t="s">
        <v>449</v>
      </c>
      <c r="CM28" s="123">
        <f>+CM26*CM22</f>
        <v>0</v>
      </c>
      <c r="CN28" s="139" t="s">
        <v>444</v>
      </c>
      <c r="CO28" s="121"/>
      <c r="CP28" s="120"/>
      <c r="CQ28" s="137"/>
      <c r="CS28" s="123">
        <f>+CS27*CS26</f>
        <v>0</v>
      </c>
      <c r="CT28" s="124" t="s">
        <v>444</v>
      </c>
      <c r="CV28" s="3" t="s">
        <v>352</v>
      </c>
      <c r="CW28">
        <f t="shared" si="33"/>
        <v>0</v>
      </c>
      <c r="CX28" s="42" t="s">
        <v>530</v>
      </c>
      <c r="CY28" t="e">
        <f t="shared" si="13"/>
        <v>#N/A</v>
      </c>
      <c r="CZ28" t="e">
        <f t="shared" si="61"/>
        <v>#N/A</v>
      </c>
      <c r="DA28" t="e">
        <f t="shared" si="15"/>
        <v>#N/A</v>
      </c>
      <c r="DB28" t="e">
        <f t="shared" si="60"/>
        <v>#N/A</v>
      </c>
      <c r="DC28" t="str">
        <f t="shared" si="17"/>
        <v xml:space="preserve"> Cstm  </v>
      </c>
      <c r="DD28" t="e">
        <f t="shared" si="18"/>
        <v>#N/A</v>
      </c>
      <c r="DE28" t="b">
        <f t="shared" si="26"/>
        <v>1</v>
      </c>
      <c r="DF28" s="162" t="str">
        <f t="shared" si="27"/>
        <v/>
      </c>
      <c r="DK28" s="217" t="s">
        <v>901</v>
      </c>
      <c r="DM28" t="s">
        <v>159</v>
      </c>
      <c r="DN28" s="39">
        <v>110</v>
      </c>
      <c r="DO28" s="219"/>
      <c r="ED28" s="390" t="str">
        <f>+DH34</f>
        <v/>
      </c>
      <c r="EE28" s="390"/>
      <c r="EF28" s="390"/>
      <c r="EG28" s="390"/>
      <c r="EH28" s="390"/>
      <c r="EJ28" t="s">
        <v>398</v>
      </c>
    </row>
    <row r="29" spans="1:140" ht="15" customHeight="1" x14ac:dyDescent="0.3">
      <c r="A29" s="391"/>
      <c r="B29" s="94"/>
      <c r="C29" s="74" t="s">
        <v>62</v>
      </c>
      <c r="D29" s="75"/>
      <c r="E29" s="75"/>
      <c r="F29" s="98"/>
      <c r="G29" s="347" t="s">
        <v>1250</v>
      </c>
      <c r="H29" s="381"/>
      <c r="I29" s="51"/>
      <c r="J29" s="51"/>
      <c r="K29" s="99"/>
      <c r="L29" s="51" t="str">
        <f>IF(AZ16=1, "LAP2984MT CHROME Atlas Double", "LAP2984MT Atlas Double")</f>
        <v>LAP2984MT Atlas Double</v>
      </c>
      <c r="M29" s="51"/>
      <c r="N29" s="51"/>
      <c r="O29" s="51"/>
      <c r="P29" s="99"/>
      <c r="Q29" s="51" t="s">
        <v>328</v>
      </c>
      <c r="R29" s="51"/>
      <c r="S29" s="51"/>
      <c r="T29" s="51"/>
      <c r="U29" s="368"/>
      <c r="V29" s="53"/>
      <c r="W29" s="53"/>
      <c r="X29" s="51"/>
      <c r="Y29" s="51"/>
      <c r="Z29" s="51"/>
      <c r="AA29" s="51"/>
      <c r="AB29" s="51"/>
      <c r="AC29" s="51"/>
      <c r="AD29" s="3"/>
      <c r="AE29" s="3"/>
      <c r="AF29" s="3"/>
      <c r="AG29" s="70" t="str">
        <f t="shared" si="28"/>
        <v/>
      </c>
      <c r="AK29" s="90" t="s">
        <v>212</v>
      </c>
      <c r="AL29" s="9">
        <f t="shared" si="29"/>
        <v>0</v>
      </c>
      <c r="AM29" s="16" t="b">
        <f t="shared" si="30"/>
        <v>0</v>
      </c>
      <c r="AN29" s="16">
        <f t="shared" si="31"/>
        <v>0</v>
      </c>
      <c r="AO29" s="3" t="s">
        <v>353</v>
      </c>
      <c r="AP29" s="24">
        <v>874</v>
      </c>
      <c r="AR29" s="13">
        <f t="shared" si="19"/>
        <v>0</v>
      </c>
      <c r="AS29" s="347" t="s">
        <v>1250</v>
      </c>
      <c r="AT29" s="35">
        <v>0</v>
      </c>
      <c r="AU29" s="35">
        <v>0</v>
      </c>
      <c r="AW29" s="300">
        <f t="shared" si="3"/>
        <v>0</v>
      </c>
      <c r="AX29" s="297"/>
      <c r="AZ29" s="15">
        <f>IF(K29="",0,1)</f>
        <v>0</v>
      </c>
      <c r="BA29" s="39">
        <v>153</v>
      </c>
      <c r="BB29" s="39">
        <f>+AZ29*BA29</f>
        <v>0</v>
      </c>
      <c r="BC29" s="51" t="str">
        <f>IF(AZ16=1, "CHROME Atlas Double", "LAP2984MT Atlas Double")</f>
        <v>LAP2984MT Atlas Double</v>
      </c>
      <c r="BE29" s="156" t="s">
        <v>996</v>
      </c>
      <c r="BH29" s="9"/>
      <c r="BI29" s="43"/>
      <c r="BJ29" s="3"/>
      <c r="BL29" s="156"/>
      <c r="BN29" s="33">
        <f t="shared" si="43"/>
        <v>0</v>
      </c>
      <c r="BO29" s="33">
        <f t="shared" si="24"/>
        <v>0</v>
      </c>
      <c r="BP29" s="2">
        <f t="shared" si="5"/>
        <v>0</v>
      </c>
      <c r="BQ29">
        <f t="shared" si="57"/>
        <v>0</v>
      </c>
      <c r="BR29" s="42">
        <f t="shared" si="58"/>
        <v>0</v>
      </c>
      <c r="BS29" s="42">
        <f t="shared" si="59"/>
        <v>0</v>
      </c>
      <c r="BV29">
        <f t="shared" si="9"/>
        <v>0</v>
      </c>
      <c r="BW29" s="121">
        <f t="shared" si="10"/>
        <v>0</v>
      </c>
      <c r="BX29" s="121"/>
      <c r="BY29">
        <f t="shared" si="21"/>
        <v>0</v>
      </c>
      <c r="CA29" s="107">
        <f>IF(CA27*CA24&gt;0,1,0)</f>
        <v>0</v>
      </c>
      <c r="CB29" s="109" t="s">
        <v>439</v>
      </c>
      <c r="CD29" s="133">
        <f t="shared" si="52"/>
        <v>0</v>
      </c>
      <c r="CE29" s="134" t="s">
        <v>353</v>
      </c>
      <c r="CG29" s="327">
        <f t="shared" si="46"/>
        <v>0</v>
      </c>
      <c r="CH29" s="122" t="s">
        <v>1134</v>
      </c>
      <c r="CJ29" s="123">
        <f>+CJ28*CJ24</f>
        <v>0</v>
      </c>
      <c r="CK29" s="139" t="s">
        <v>444</v>
      </c>
      <c r="CM29" s="120"/>
      <c r="CN29" s="138"/>
      <c r="CO29" s="121"/>
      <c r="CP29" s="120"/>
      <c r="CQ29" s="144" t="s">
        <v>480</v>
      </c>
      <c r="CS29" s="120"/>
      <c r="CT29" s="122"/>
      <c r="CV29" s="3" t="s">
        <v>353</v>
      </c>
      <c r="CW29">
        <f t="shared" si="33"/>
        <v>0</v>
      </c>
      <c r="CX29" s="42" t="s">
        <v>531</v>
      </c>
      <c r="CY29" t="e">
        <f t="shared" si="13"/>
        <v>#N/A</v>
      </c>
      <c r="CZ29" t="e">
        <f t="shared" si="61"/>
        <v>#N/A</v>
      </c>
      <c r="DA29" t="e">
        <f t="shared" si="15"/>
        <v>#N/A</v>
      </c>
      <c r="DB29" t="e">
        <f t="shared" si="60"/>
        <v>#N/A</v>
      </c>
      <c r="DC29" t="str">
        <f t="shared" si="17"/>
        <v xml:space="preserve"> Cstm  </v>
      </c>
      <c r="DD29" t="e">
        <f t="shared" si="18"/>
        <v>#N/A</v>
      </c>
      <c r="DE29" t="b">
        <f t="shared" si="26"/>
        <v>1</v>
      </c>
      <c r="DF29" s="162" t="str">
        <f t="shared" si="27"/>
        <v/>
      </c>
      <c r="DK29" s="217" t="s">
        <v>1142</v>
      </c>
      <c r="DM29" t="s">
        <v>160</v>
      </c>
      <c r="DN29" s="39">
        <v>110</v>
      </c>
      <c r="DO29" s="219"/>
      <c r="ED29" s="89" t="s">
        <v>0</v>
      </c>
      <c r="EE29" s="3" t="s">
        <v>497</v>
      </c>
      <c r="EF29" s="3"/>
      <c r="EG29" s="10"/>
      <c r="EH29" s="186"/>
      <c r="EJ29" t="s">
        <v>398</v>
      </c>
    </row>
    <row r="30" spans="1:140" x14ac:dyDescent="0.3">
      <c r="A30" s="391"/>
      <c r="B30" s="94"/>
      <c r="C30" s="153" t="s">
        <v>645</v>
      </c>
      <c r="D30" s="75"/>
      <c r="E30" s="75"/>
      <c r="F30" s="98"/>
      <c r="G30" s="51" t="s">
        <v>330</v>
      </c>
      <c r="H30" s="381"/>
      <c r="I30" s="51"/>
      <c r="J30" s="51"/>
      <c r="K30" s="99"/>
      <c r="L30" s="51" t="str">
        <f>IF(AZ16=1, "LAP2985MT CHROME Atlas Single",  "LAP2985MT Atlas Single")</f>
        <v>LAP2985MT Atlas Single</v>
      </c>
      <c r="M30" s="51"/>
      <c r="N30" s="51"/>
      <c r="O30" s="112" t="s">
        <v>422</v>
      </c>
      <c r="P30" s="114"/>
      <c r="Q30" s="114"/>
      <c r="R30" s="53"/>
      <c r="S30" s="53"/>
      <c r="T30" s="53"/>
      <c r="U30" s="368"/>
      <c r="V30" s="53"/>
      <c r="W30" s="53"/>
      <c r="X30" s="53"/>
      <c r="Y30" s="53"/>
      <c r="Z30" s="53"/>
      <c r="AA30" s="53"/>
      <c r="AB30" s="53"/>
      <c r="AC30" s="53"/>
      <c r="AD30" s="3"/>
      <c r="AE30" s="3"/>
      <c r="AF30" s="3"/>
      <c r="AG30" s="70" t="str">
        <f t="shared" si="28"/>
        <v/>
      </c>
      <c r="AK30" s="90" t="s">
        <v>212</v>
      </c>
      <c r="AL30" s="9">
        <f t="shared" si="29"/>
        <v>0</v>
      </c>
      <c r="AM30" s="16" t="b">
        <f t="shared" si="30"/>
        <v>0</v>
      </c>
      <c r="AN30" s="16">
        <f t="shared" si="31"/>
        <v>0</v>
      </c>
      <c r="AO30" s="3" t="s">
        <v>354</v>
      </c>
      <c r="AP30" s="24">
        <v>874</v>
      </c>
      <c r="AR30" s="9">
        <f t="shared" si="19"/>
        <v>0</v>
      </c>
      <c r="AS30" s="51" t="s">
        <v>330</v>
      </c>
      <c r="AT30" s="35">
        <v>50</v>
      </c>
      <c r="AU30" s="35">
        <v>50</v>
      </c>
      <c r="AW30" s="300">
        <f t="shared" si="3"/>
        <v>0</v>
      </c>
      <c r="AX30" s="301"/>
      <c r="AZ30" s="15">
        <f>IF(K30="",0,1)</f>
        <v>0</v>
      </c>
      <c r="BA30" s="39">
        <v>123</v>
      </c>
      <c r="BB30" s="39">
        <f>+AZ30*BA30</f>
        <v>0</v>
      </c>
      <c r="BC30" s="51" t="str">
        <f>IF(AZ16=1, "CHROME Atlas Single",  "LAP2985MT Atlas Single")</f>
        <v>LAP2985MT Atlas Single</v>
      </c>
      <c r="BE30" s="156" t="s">
        <v>997</v>
      </c>
      <c r="BN30" s="33">
        <f t="shared" si="43"/>
        <v>0</v>
      </c>
      <c r="BO30" s="33">
        <f t="shared" si="24"/>
        <v>0</v>
      </c>
      <c r="BP30" s="2">
        <f t="shared" si="5"/>
        <v>0</v>
      </c>
      <c r="BQ30">
        <f t="shared" si="57"/>
        <v>0</v>
      </c>
      <c r="BR30" s="42">
        <f t="shared" si="58"/>
        <v>0</v>
      </c>
      <c r="BS30" s="42">
        <f t="shared" si="59"/>
        <v>0</v>
      </c>
      <c r="BV30">
        <f t="shared" si="9"/>
        <v>0</v>
      </c>
      <c r="BW30" s="121">
        <f t="shared" si="10"/>
        <v>0</v>
      </c>
      <c r="BX30" s="121"/>
      <c r="BY30">
        <f t="shared" si="21"/>
        <v>0</v>
      </c>
      <c r="CB30" s="3"/>
      <c r="CD30" s="133">
        <f t="shared" si="52"/>
        <v>0</v>
      </c>
      <c r="CE30" s="134" t="s">
        <v>355</v>
      </c>
      <c r="CG30" s="327"/>
      <c r="CH30" s="372" t="s">
        <v>134</v>
      </c>
      <c r="CJ30" s="120"/>
      <c r="CK30" s="122"/>
      <c r="CM30" s="120">
        <f>+BD49</f>
        <v>0</v>
      </c>
      <c r="CN30" s="138" t="s">
        <v>265</v>
      </c>
      <c r="CO30" s="121"/>
      <c r="CP30" s="120"/>
      <c r="CQ30" s="122"/>
      <c r="CS30" s="120">
        <f>+BD50</f>
        <v>0</v>
      </c>
      <c r="CT30" s="122" t="s">
        <v>21</v>
      </c>
      <c r="CV30" s="3" t="s">
        <v>354</v>
      </c>
      <c r="CW30">
        <f t="shared" si="33"/>
        <v>0</v>
      </c>
      <c r="CX30" s="42" t="s">
        <v>532</v>
      </c>
      <c r="CY30" t="e">
        <f t="shared" si="13"/>
        <v>#N/A</v>
      </c>
      <c r="CZ30" t="e">
        <f t="shared" si="61"/>
        <v>#N/A</v>
      </c>
      <c r="DA30" t="e">
        <f t="shared" si="15"/>
        <v>#N/A</v>
      </c>
      <c r="DB30" t="e">
        <f t="shared" si="60"/>
        <v>#N/A</v>
      </c>
      <c r="DC30" t="str">
        <f t="shared" si="17"/>
        <v xml:space="preserve"> Cstm  </v>
      </c>
      <c r="DD30" t="e">
        <f t="shared" si="18"/>
        <v>#N/A</v>
      </c>
      <c r="DE30" t="b">
        <f t="shared" si="26"/>
        <v>1</v>
      </c>
      <c r="DF30" s="162" t="str">
        <f t="shared" si="27"/>
        <v/>
      </c>
      <c r="DK30" s="217"/>
      <c r="DO30" s="218"/>
      <c r="ED30" s="89" t="s">
        <v>1</v>
      </c>
      <c r="EE30" s="3" t="s">
        <v>399</v>
      </c>
      <c r="EF30" s="3"/>
      <c r="EG30" s="3"/>
      <c r="EH30" s="3"/>
      <c r="EJ30" t="s">
        <v>398</v>
      </c>
    </row>
    <row r="31" spans="1:140" ht="16.2" thickBot="1" x14ac:dyDescent="0.35">
      <c r="A31" s="391"/>
      <c r="B31" s="94"/>
      <c r="C31" s="74" t="s">
        <v>64</v>
      </c>
      <c r="D31" s="75"/>
      <c r="E31" s="75"/>
      <c r="F31" s="98"/>
      <c r="G31" s="51" t="s">
        <v>622</v>
      </c>
      <c r="H31" s="381"/>
      <c r="I31" s="51"/>
      <c r="J31" s="51"/>
      <c r="K31" s="99"/>
      <c r="L31" s="51" t="str">
        <f>IF(AZ16=1, "LR2983MT CHROME Rail 9.5mm",  "LR2983MT Rail Consolette 9.5mm")</f>
        <v>LR2983MT Rail Consolette 9.5mm</v>
      </c>
      <c r="M31" s="51"/>
      <c r="N31" s="51"/>
      <c r="O31" s="53"/>
      <c r="P31" s="53"/>
      <c r="Q31" s="114" t="s">
        <v>582</v>
      </c>
      <c r="R31" s="114"/>
      <c r="S31" s="53"/>
      <c r="T31" s="53"/>
      <c r="U31" s="368"/>
      <c r="V31" s="53"/>
      <c r="W31" s="53"/>
      <c r="X31" s="53"/>
      <c r="Y31" s="53"/>
      <c r="Z31" s="53"/>
      <c r="AA31" s="53"/>
      <c r="AB31" s="53"/>
      <c r="AC31" s="53"/>
      <c r="AD31" s="3"/>
      <c r="AE31" s="3"/>
      <c r="AF31" s="3"/>
      <c r="AG31" s="70" t="str">
        <f t="shared" si="28"/>
        <v/>
      </c>
      <c r="AK31" s="90" t="s">
        <v>212</v>
      </c>
      <c r="AL31" s="9">
        <f t="shared" si="29"/>
        <v>0</v>
      </c>
      <c r="AM31" s="16" t="b">
        <f t="shared" si="30"/>
        <v>0</v>
      </c>
      <c r="AN31" s="16">
        <f t="shared" si="31"/>
        <v>0</v>
      </c>
      <c r="AO31" s="3" t="s">
        <v>355</v>
      </c>
      <c r="AP31" s="24">
        <v>874</v>
      </c>
      <c r="AR31" s="9">
        <f t="shared" si="19"/>
        <v>0</v>
      </c>
      <c r="AS31" s="51" t="s">
        <v>622</v>
      </c>
      <c r="AT31" s="35">
        <v>50</v>
      </c>
      <c r="AU31" s="35">
        <v>50</v>
      </c>
      <c r="AW31" s="300">
        <f t="shared" si="3"/>
        <v>0</v>
      </c>
      <c r="AX31" s="301"/>
      <c r="AZ31" s="15">
        <f>IF(K31="",0,1)</f>
        <v>0</v>
      </c>
      <c r="BA31" s="39">
        <f>DN28</f>
        <v>110</v>
      </c>
      <c r="BB31" s="39">
        <f>+AZ31*BA31</f>
        <v>0</v>
      </c>
      <c r="BC31" s="3" t="str">
        <f>IF(AZ16=1, "CHROME Rail 9.5mm",  "LR2983MT Rail Consolette 9.5mm")</f>
        <v>LR2983MT Rail Consolette 9.5mm</v>
      </c>
      <c r="BE31" s="156" t="s">
        <v>549</v>
      </c>
      <c r="BG31" s="3" t="s">
        <v>204</v>
      </c>
      <c r="BH31" s="27">
        <f>SUM(BH23:BH29)</f>
        <v>0</v>
      </c>
      <c r="BI31" s="47">
        <f>SUM(BI23:BI29)</f>
        <v>0</v>
      </c>
      <c r="BJ31" s="24" t="s">
        <v>227</v>
      </c>
      <c r="BN31" s="33">
        <f t="shared" si="43"/>
        <v>0</v>
      </c>
      <c r="BO31" s="33">
        <f t="shared" si="24"/>
        <v>0</v>
      </c>
      <c r="BP31" s="2">
        <f t="shared" si="5"/>
        <v>0</v>
      </c>
      <c r="BQ31">
        <f t="shared" si="57"/>
        <v>0</v>
      </c>
      <c r="BR31" s="42">
        <f t="shared" si="58"/>
        <v>0</v>
      </c>
      <c r="BS31" s="42">
        <f t="shared" si="59"/>
        <v>0</v>
      </c>
      <c r="BV31">
        <f t="shared" si="9"/>
        <v>0</v>
      </c>
      <c r="BW31" s="121">
        <f t="shared" si="10"/>
        <v>0</v>
      </c>
      <c r="BX31" s="121"/>
      <c r="BY31">
        <f t="shared" si="21"/>
        <v>0</v>
      </c>
      <c r="CA31" s="108" t="s">
        <v>1001</v>
      </c>
      <c r="CB31" s="108"/>
      <c r="CD31" s="133">
        <f t="shared" si="52"/>
        <v>0</v>
      </c>
      <c r="CE31" s="134" t="s">
        <v>357</v>
      </c>
      <c r="CG31" s="327">
        <f>+AR70</f>
        <v>0</v>
      </c>
      <c r="CH31" s="122" t="s">
        <v>137</v>
      </c>
      <c r="CJ31" s="120"/>
      <c r="CK31" s="122"/>
      <c r="CM31" s="120"/>
      <c r="CN31" s="122"/>
      <c r="CO31" s="121"/>
      <c r="CP31" s="120">
        <f t="shared" ref="CP31:CP36" si="62">+AR51</f>
        <v>0</v>
      </c>
      <c r="CQ31" s="137" t="s">
        <v>109</v>
      </c>
      <c r="CS31" s="120">
        <f>SUM(BJ47:BJ49)</f>
        <v>0</v>
      </c>
      <c r="CT31" s="122" t="s">
        <v>492</v>
      </c>
      <c r="CV31" s="3" t="s">
        <v>355</v>
      </c>
      <c r="CW31">
        <f t="shared" si="33"/>
        <v>0</v>
      </c>
      <c r="CX31" s="42" t="s">
        <v>533</v>
      </c>
      <c r="CY31" t="e">
        <f t="shared" si="13"/>
        <v>#N/A</v>
      </c>
      <c r="CZ31" t="e">
        <f t="shared" si="61"/>
        <v>#N/A</v>
      </c>
      <c r="DA31" t="e">
        <f t="shared" si="15"/>
        <v>#N/A</v>
      </c>
      <c r="DB31" t="e">
        <f t="shared" si="60"/>
        <v>#N/A</v>
      </c>
      <c r="DC31" t="str">
        <f t="shared" si="17"/>
        <v xml:space="preserve"> Cstm  </v>
      </c>
      <c r="DD31" t="e">
        <f t="shared" si="18"/>
        <v>#N/A</v>
      </c>
      <c r="DE31" t="b">
        <f t="shared" si="26"/>
        <v>1</v>
      </c>
      <c r="DF31" s="162" t="str">
        <f t="shared" si="27"/>
        <v/>
      </c>
      <c r="DK31" s="217" t="s">
        <v>1143</v>
      </c>
      <c r="DM31" t="s">
        <v>657</v>
      </c>
      <c r="DN31" s="39">
        <v>106</v>
      </c>
      <c r="DO31" s="218"/>
      <c r="ED31" s="89" t="s">
        <v>2</v>
      </c>
      <c r="EE31" s="387" t="str">
        <f>AG77</f>
        <v/>
      </c>
      <c r="EF31" s="388"/>
      <c r="EG31" s="388"/>
      <c r="EH31" s="388"/>
      <c r="EJ31" t="s">
        <v>398</v>
      </c>
    </row>
    <row r="32" spans="1:140" x14ac:dyDescent="0.3">
      <c r="A32" s="391"/>
      <c r="B32" s="94"/>
      <c r="C32" s="153" t="s">
        <v>65</v>
      </c>
      <c r="D32" s="75"/>
      <c r="E32" s="75"/>
      <c r="F32" s="98"/>
      <c r="G32" s="51" t="s">
        <v>128</v>
      </c>
      <c r="H32" s="381"/>
      <c r="I32" s="51"/>
      <c r="J32" s="51"/>
      <c r="K32" s="99"/>
      <c r="L32" s="51" t="str">
        <f>IF(AZ16=1, "LR2993MT CHROME Rail 10.5mm", "LR2993MT Rail Consolette 10.5mm")</f>
        <v>LR2993MT Rail Consolette 10.5mm</v>
      </c>
      <c r="M32" s="51"/>
      <c r="N32" s="51"/>
      <c r="O32" s="51"/>
      <c r="P32" s="59" t="s">
        <v>182</v>
      </c>
      <c r="Q32" s="269"/>
      <c r="R32" s="269"/>
      <c r="S32" s="269"/>
      <c r="T32" s="53"/>
      <c r="U32" s="368"/>
      <c r="V32" s="53"/>
      <c r="W32" s="53"/>
      <c r="X32" s="53"/>
      <c r="Y32" s="53"/>
      <c r="Z32" s="53"/>
      <c r="AA32" s="53"/>
      <c r="AB32" s="53"/>
      <c r="AC32" s="53"/>
      <c r="AD32" s="3"/>
      <c r="AE32" s="3"/>
      <c r="AF32" s="3"/>
      <c r="AG32" s="70" t="str">
        <f t="shared" si="28"/>
        <v/>
      </c>
      <c r="AK32" s="90" t="s">
        <v>212</v>
      </c>
      <c r="AL32" s="9">
        <f t="shared" si="29"/>
        <v>0</v>
      </c>
      <c r="AM32" s="16" t="b">
        <f t="shared" si="30"/>
        <v>0</v>
      </c>
      <c r="AN32" s="16">
        <f t="shared" si="31"/>
        <v>0</v>
      </c>
      <c r="AO32" s="3" t="s">
        <v>356</v>
      </c>
      <c r="AP32" s="24">
        <v>874</v>
      </c>
      <c r="AR32" s="9">
        <f t="shared" si="19"/>
        <v>0</v>
      </c>
      <c r="AS32" s="51" t="s">
        <v>128</v>
      </c>
      <c r="AT32" s="35">
        <v>50</v>
      </c>
      <c r="AU32" s="35">
        <v>50</v>
      </c>
      <c r="AW32" s="300">
        <f t="shared" si="3"/>
        <v>0</v>
      </c>
      <c r="AX32" s="301"/>
      <c r="AZ32" s="15">
        <f>IF(K32="",0,1)</f>
        <v>0</v>
      </c>
      <c r="BA32" s="39">
        <f>DN29</f>
        <v>110</v>
      </c>
      <c r="BB32" s="39">
        <f>+AZ32*BA32</f>
        <v>0</v>
      </c>
      <c r="BC32" s="3" t="str">
        <f>IF(AZ16=1, "CHROME Rail 10.5mm", "LR2993MT Rail Consolette 10.5mm")</f>
        <v>LR2993MT Rail Consolette 10.5mm</v>
      </c>
      <c r="BE32" s="156" t="s">
        <v>549</v>
      </c>
      <c r="BN32" s="33">
        <f t="shared" si="43"/>
        <v>0</v>
      </c>
      <c r="BO32" s="33">
        <f t="shared" si="24"/>
        <v>0</v>
      </c>
      <c r="BP32" s="2">
        <f t="shared" si="5"/>
        <v>0</v>
      </c>
      <c r="BQ32">
        <f t="shared" si="57"/>
        <v>0</v>
      </c>
      <c r="BR32" s="42">
        <f t="shared" si="58"/>
        <v>0</v>
      </c>
      <c r="BS32" s="42">
        <f t="shared" si="59"/>
        <v>0</v>
      </c>
      <c r="BV32">
        <f t="shared" si="9"/>
        <v>0</v>
      </c>
      <c r="BW32" s="121">
        <f t="shared" si="10"/>
        <v>0</v>
      </c>
      <c r="BX32" s="121"/>
      <c r="BY32">
        <f t="shared" si="21"/>
        <v>0</v>
      </c>
      <c r="CA32" s="107">
        <f>+AZ27</f>
        <v>0</v>
      </c>
      <c r="CB32" s="109" t="s">
        <v>992</v>
      </c>
      <c r="CD32" s="133">
        <f t="shared" si="52"/>
        <v>0</v>
      </c>
      <c r="CE32" s="134" t="s">
        <v>375</v>
      </c>
      <c r="CG32" s="327">
        <f>+AR71</f>
        <v>0</v>
      </c>
      <c r="CH32" s="122" t="s">
        <v>138</v>
      </c>
      <c r="CJ32" s="120" t="s">
        <v>453</v>
      </c>
      <c r="CK32" s="122"/>
      <c r="CM32" s="120">
        <f>+AL61</f>
        <v>0</v>
      </c>
      <c r="CN32" s="138" t="s">
        <v>375</v>
      </c>
      <c r="CO32" s="121"/>
      <c r="CP32" s="120">
        <f t="shared" si="62"/>
        <v>0</v>
      </c>
      <c r="CQ32" s="137" t="s">
        <v>110</v>
      </c>
      <c r="CS32" s="123">
        <f>+CS31*CS30</f>
        <v>0</v>
      </c>
      <c r="CT32" s="124" t="s">
        <v>444</v>
      </c>
      <c r="CV32" s="3" t="s">
        <v>356</v>
      </c>
      <c r="CW32">
        <f t="shared" si="33"/>
        <v>0</v>
      </c>
      <c r="CX32" s="42" t="s">
        <v>534</v>
      </c>
      <c r="CY32" t="e">
        <f t="shared" si="13"/>
        <v>#N/A</v>
      </c>
      <c r="CZ32" t="e">
        <f t="shared" si="61"/>
        <v>#N/A</v>
      </c>
      <c r="DA32" t="e">
        <f t="shared" si="15"/>
        <v>#N/A</v>
      </c>
      <c r="DB32" t="e">
        <f t="shared" si="60"/>
        <v>#N/A</v>
      </c>
      <c r="DC32" t="str">
        <f t="shared" si="17"/>
        <v xml:space="preserve"> Cstm  </v>
      </c>
      <c r="DD32" t="e">
        <f t="shared" si="18"/>
        <v>#N/A</v>
      </c>
      <c r="DE32" t="b">
        <f t="shared" si="26"/>
        <v>1</v>
      </c>
      <c r="DF32" s="162" t="str">
        <f t="shared" si="27"/>
        <v/>
      </c>
      <c r="DK32" s="217"/>
      <c r="DO32" s="218"/>
      <c r="ED32" s="89" t="s">
        <v>3</v>
      </c>
      <c r="EE32" s="3" t="e">
        <f>+EE7</f>
        <v>#N/A</v>
      </c>
      <c r="EF32" s="3"/>
      <c r="EG32" s="89" t="s">
        <v>17</v>
      </c>
      <c r="EH32" s="3" t="e">
        <f>+EH22</f>
        <v>#N/A</v>
      </c>
      <c r="EJ32" t="s">
        <v>398</v>
      </c>
    </row>
    <row r="33" spans="1:140" x14ac:dyDescent="0.3">
      <c r="A33" s="391"/>
      <c r="B33" s="94"/>
      <c r="C33" s="74" t="s">
        <v>66</v>
      </c>
      <c r="D33" s="75"/>
      <c r="E33" s="75"/>
      <c r="F33" s="314"/>
      <c r="G33" s="51" t="s">
        <v>120</v>
      </c>
      <c r="H33" s="381"/>
      <c r="I33" s="51"/>
      <c r="J33" s="51"/>
      <c r="K33" s="170"/>
      <c r="L33" s="170"/>
      <c r="M33" s="51"/>
      <c r="N33" s="51"/>
      <c r="O33" s="53"/>
      <c r="P33" s="99"/>
      <c r="Q33" s="51" t="s">
        <v>183</v>
      </c>
      <c r="R33" s="53"/>
      <c r="S33" s="53"/>
      <c r="T33" s="53"/>
      <c r="U33" s="368"/>
      <c r="V33" s="53"/>
      <c r="W33" s="53"/>
      <c r="X33" s="53"/>
      <c r="Y33" s="53"/>
      <c r="Z33" s="53"/>
      <c r="AA33" s="53"/>
      <c r="AB33" s="53"/>
      <c r="AC33" s="53"/>
      <c r="AD33" s="3"/>
      <c r="AE33" s="3"/>
      <c r="AF33" s="3"/>
      <c r="AG33" s="70" t="str">
        <f t="shared" si="28"/>
        <v/>
      </c>
      <c r="AK33" s="90" t="s">
        <v>212</v>
      </c>
      <c r="AL33" s="9">
        <f t="shared" si="29"/>
        <v>0</v>
      </c>
      <c r="AM33" s="16" t="b">
        <f t="shared" si="30"/>
        <v>0</v>
      </c>
      <c r="AN33" s="16">
        <f t="shared" si="31"/>
        <v>0</v>
      </c>
      <c r="AO33" s="3" t="s">
        <v>357</v>
      </c>
      <c r="AP33" s="24">
        <v>874</v>
      </c>
      <c r="AR33" s="9">
        <f t="shared" si="19"/>
        <v>0</v>
      </c>
      <c r="AS33" s="51" t="s">
        <v>120</v>
      </c>
      <c r="AT33" s="35">
        <v>50</v>
      </c>
      <c r="AU33" s="35">
        <v>50</v>
      </c>
      <c r="AW33" s="296">
        <f t="shared" si="3"/>
        <v>0</v>
      </c>
      <c r="AX33" s="298"/>
      <c r="AZ33" s="29">
        <f>SUM(AZ20:AZ32)</f>
        <v>0</v>
      </c>
      <c r="BA33" s="3" t="s">
        <v>204</v>
      </c>
      <c r="BB33" s="40">
        <f>SUM(BB20:BB32)</f>
        <v>0</v>
      </c>
      <c r="BN33" s="33">
        <f t="shared" si="43"/>
        <v>0</v>
      </c>
      <c r="BO33" s="33">
        <f t="shared" si="24"/>
        <v>0</v>
      </c>
      <c r="BP33" s="2">
        <f t="shared" si="5"/>
        <v>0</v>
      </c>
      <c r="BQ33">
        <f t="shared" si="57"/>
        <v>0</v>
      </c>
      <c r="BR33" s="42">
        <f t="shared" si="58"/>
        <v>0</v>
      </c>
      <c r="BS33" s="42">
        <f t="shared" si="59"/>
        <v>0</v>
      </c>
      <c r="BV33">
        <f t="shared" si="9"/>
        <v>0</v>
      </c>
      <c r="BW33" s="121">
        <f t="shared" si="10"/>
        <v>0</v>
      </c>
      <c r="BX33" s="121"/>
      <c r="BY33">
        <f t="shared" si="21"/>
        <v>0</v>
      </c>
      <c r="CA33" s="107">
        <f>+AZ29</f>
        <v>0</v>
      </c>
      <c r="CB33" s="109" t="s">
        <v>993</v>
      </c>
      <c r="CD33" s="133">
        <f t="shared" si="52"/>
        <v>0</v>
      </c>
      <c r="CE33" s="134" t="s">
        <v>376</v>
      </c>
      <c r="CG33" s="327">
        <f>+AR72</f>
        <v>0</v>
      </c>
      <c r="CH33" s="122" t="s">
        <v>1230</v>
      </c>
      <c r="CJ33" s="120">
        <f>+BD4</f>
        <v>0</v>
      </c>
      <c r="CK33" s="138" t="s">
        <v>455</v>
      </c>
      <c r="CM33" s="120">
        <f>+AL62</f>
        <v>0</v>
      </c>
      <c r="CN33" s="138" t="s">
        <v>376</v>
      </c>
      <c r="CO33" s="121"/>
      <c r="CP33" s="120">
        <f t="shared" si="62"/>
        <v>0</v>
      </c>
      <c r="CQ33" s="137" t="s">
        <v>1167</v>
      </c>
      <c r="CS33" s="120"/>
      <c r="CT33" s="122"/>
      <c r="CV33" s="3" t="s">
        <v>357</v>
      </c>
      <c r="CW33">
        <f t="shared" si="33"/>
        <v>0</v>
      </c>
      <c r="CX33" s="42" t="s">
        <v>535</v>
      </c>
      <c r="CY33" t="e">
        <f t="shared" si="13"/>
        <v>#N/A</v>
      </c>
      <c r="CZ33" t="e">
        <f t="shared" si="61"/>
        <v>#N/A</v>
      </c>
      <c r="DA33" t="e">
        <f t="shared" si="15"/>
        <v>#N/A</v>
      </c>
      <c r="DB33" t="e">
        <f t="shared" si="60"/>
        <v>#N/A</v>
      </c>
      <c r="DC33" t="str">
        <f t="shared" si="17"/>
        <v xml:space="preserve"> Cstm  </v>
      </c>
      <c r="DD33" t="e">
        <f t="shared" si="18"/>
        <v>#N/A</v>
      </c>
      <c r="DE33" t="b">
        <f t="shared" si="26"/>
        <v>1</v>
      </c>
      <c r="DF33" s="162" t="str">
        <f t="shared" si="27"/>
        <v/>
      </c>
      <c r="DK33" s="217"/>
      <c r="DM33" s="192" t="s">
        <v>182</v>
      </c>
      <c r="DN33" s="39"/>
      <c r="DO33" s="218"/>
      <c r="ED33" s="89" t="s">
        <v>6</v>
      </c>
      <c r="EE33" s="3" t="e">
        <f>HLOOKUP(1,BA6:BC8,3,FALSE)</f>
        <v>#N/A</v>
      </c>
      <c r="EF33" s="3"/>
      <c r="EG33" s="89" t="s">
        <v>23</v>
      </c>
      <c r="EH33" s="3" t="e">
        <f>VLOOKUP(1,AZ58:BA60,2,FALSE)</f>
        <v>#N/A</v>
      </c>
      <c r="EJ33" t="s">
        <v>398</v>
      </c>
    </row>
    <row r="34" spans="1:140" ht="15" thickBot="1" x14ac:dyDescent="0.35">
      <c r="A34" s="391"/>
      <c r="B34" s="94"/>
      <c r="C34" s="76" t="s">
        <v>67</v>
      </c>
      <c r="D34" s="77"/>
      <c r="E34" s="75"/>
      <c r="F34" s="98"/>
      <c r="G34" s="51" t="s">
        <v>329</v>
      </c>
      <c r="H34" s="381"/>
      <c r="I34" s="51"/>
      <c r="J34" s="51"/>
      <c r="K34" s="99"/>
      <c r="L34" s="51" t="s">
        <v>161</v>
      </c>
      <c r="M34" s="51"/>
      <c r="N34" s="51"/>
      <c r="O34" s="53"/>
      <c r="P34" s="99"/>
      <c r="Q34" s="54" t="s">
        <v>184</v>
      </c>
      <c r="R34" s="53"/>
      <c r="S34" s="53"/>
      <c r="T34" s="53"/>
      <c r="U34" s="368"/>
      <c r="V34" s="53"/>
      <c r="W34" s="53"/>
      <c r="X34" s="53"/>
      <c r="Y34" s="53"/>
      <c r="Z34" s="53"/>
      <c r="AA34" s="53"/>
      <c r="AB34" s="53"/>
      <c r="AC34" s="53"/>
      <c r="AD34"/>
      <c r="AE34" s="171"/>
      <c r="AF34" s="171"/>
      <c r="AG34" s="227" t="str">
        <f t="shared" si="28"/>
        <v/>
      </c>
      <c r="AH34" s="32"/>
      <c r="AI34" s="32"/>
      <c r="AJ34" s="32"/>
      <c r="AK34" s="295" t="s">
        <v>212</v>
      </c>
      <c r="AL34" s="9">
        <f t="shared" si="29"/>
        <v>0</v>
      </c>
      <c r="AM34" s="34" t="b">
        <f t="shared" si="30"/>
        <v>0</v>
      </c>
      <c r="AN34" s="34">
        <f t="shared" si="31"/>
        <v>0</v>
      </c>
      <c r="AO34" s="171" t="s">
        <v>335</v>
      </c>
      <c r="AP34" s="174">
        <v>1034</v>
      </c>
      <c r="AR34" s="9">
        <f t="shared" si="19"/>
        <v>0</v>
      </c>
      <c r="AS34" s="51" t="s">
        <v>329</v>
      </c>
      <c r="AT34" s="35">
        <v>50</v>
      </c>
      <c r="AU34" s="35">
        <v>50</v>
      </c>
      <c r="AW34" s="296">
        <f t="shared" si="3"/>
        <v>0</v>
      </c>
      <c r="AX34" s="298"/>
      <c r="AZ34" s="15">
        <f>IF(K34="",0,1)</f>
        <v>0</v>
      </c>
      <c r="BH34" s="14" t="s">
        <v>182</v>
      </c>
      <c r="BI34" s="14"/>
      <c r="BJ34" s="14"/>
      <c r="BL34" s="156" t="s">
        <v>552</v>
      </c>
      <c r="BN34" s="33">
        <f t="shared" si="43"/>
        <v>0</v>
      </c>
      <c r="BO34" s="33">
        <f t="shared" si="24"/>
        <v>0</v>
      </c>
      <c r="BP34" s="34">
        <f t="shared" si="5"/>
        <v>0</v>
      </c>
      <c r="BQ34">
        <f t="shared" si="57"/>
        <v>0</v>
      </c>
      <c r="BR34" s="46">
        <f t="shared" si="58"/>
        <v>0</v>
      </c>
      <c r="BS34" s="46">
        <f t="shared" si="59"/>
        <v>0</v>
      </c>
      <c r="BT34" s="32"/>
      <c r="BU34" s="32"/>
      <c r="BV34">
        <f t="shared" si="9"/>
        <v>0</v>
      </c>
      <c r="BW34" s="32">
        <f t="shared" si="10"/>
        <v>0</v>
      </c>
      <c r="BX34" s="121"/>
      <c r="BY34">
        <f t="shared" si="21"/>
        <v>0</v>
      </c>
      <c r="CA34" s="107">
        <f>+AZ30</f>
        <v>0</v>
      </c>
      <c r="CB34" s="109" t="s">
        <v>994</v>
      </c>
      <c r="CD34" s="133">
        <f t="shared" si="52"/>
        <v>0</v>
      </c>
      <c r="CE34" s="134" t="s">
        <v>377</v>
      </c>
      <c r="CG34" s="327">
        <f>+AR73</f>
        <v>0</v>
      </c>
      <c r="CH34" s="122" t="s">
        <v>1231</v>
      </c>
      <c r="CJ34" s="120"/>
      <c r="CK34" s="138"/>
      <c r="CM34" s="120">
        <f>+AL63</f>
        <v>0</v>
      </c>
      <c r="CN34" s="138" t="s">
        <v>377</v>
      </c>
      <c r="CO34" s="121"/>
      <c r="CP34" s="120">
        <f t="shared" si="62"/>
        <v>0</v>
      </c>
      <c r="CQ34" s="137" t="s">
        <v>112</v>
      </c>
      <c r="CS34" s="123">
        <f>IF(SUM(CS32,CS28,CS24)&gt;0,1,0)</f>
        <v>0</v>
      </c>
      <c r="CT34" s="124" t="s">
        <v>440</v>
      </c>
      <c r="CV34" s="157" t="s">
        <v>335</v>
      </c>
      <c r="CW34" s="155">
        <f t="shared" si="33"/>
        <v>0</v>
      </c>
      <c r="CX34" s="155" t="s">
        <v>536</v>
      </c>
      <c r="CY34" s="155" t="e">
        <f t="shared" si="13"/>
        <v>#N/A</v>
      </c>
      <c r="CZ34" s="155" t="e">
        <f t="shared" si="61"/>
        <v>#N/A</v>
      </c>
      <c r="DA34" s="155" t="e">
        <f t="shared" si="15"/>
        <v>#N/A</v>
      </c>
      <c r="DB34" s="155" t="e">
        <f t="shared" si="60"/>
        <v>#N/A</v>
      </c>
      <c r="DC34" s="155" t="str">
        <f t="shared" si="17"/>
        <v xml:space="preserve"> Cstm  </v>
      </c>
      <c r="DD34" s="155" t="e">
        <f t="shared" si="18"/>
        <v>#N/A</v>
      </c>
      <c r="DE34" s="155" t="b">
        <f t="shared" si="26"/>
        <v>1</v>
      </c>
      <c r="DF34" s="313" t="str">
        <f t="shared" si="27"/>
        <v/>
      </c>
      <c r="DG34" s="155"/>
      <c r="DH34" s="311" t="str">
        <f>CONCATENATE(DF25,DF26,DF27,DF28,DF29,DF30,DF31,DF32,DF33,DF34)</f>
        <v/>
      </c>
      <c r="DK34" s="217" t="s">
        <v>902</v>
      </c>
      <c r="DM34" t="s">
        <v>185</v>
      </c>
      <c r="DN34" s="39">
        <v>0</v>
      </c>
      <c r="DO34" s="218"/>
      <c r="ED34" s="89" t="s">
        <v>149</v>
      </c>
      <c r="EE34" s="3" t="e">
        <f>+EE11</f>
        <v>#N/A</v>
      </c>
      <c r="EF34" s="3"/>
      <c r="EG34" s="89" t="s">
        <v>387</v>
      </c>
      <c r="EH34" s="3" t="str">
        <f>VLOOKUP(1,BE60:BF60,2,FALSE)</f>
        <v>Clear Ambassador</v>
      </c>
      <c r="EJ34" t="s">
        <v>398</v>
      </c>
    </row>
    <row r="35" spans="1:140" ht="15" customHeight="1" x14ac:dyDescent="0.3">
      <c r="A35" s="383" t="s">
        <v>322</v>
      </c>
      <c r="B35" s="94"/>
      <c r="C35" s="336" t="s">
        <v>1111</v>
      </c>
      <c r="D35" s="73"/>
      <c r="E35" s="75"/>
      <c r="F35" s="98"/>
      <c r="G35" s="51" t="s">
        <v>121</v>
      </c>
      <c r="H35" s="51"/>
      <c r="I35" s="51"/>
      <c r="J35" s="51"/>
      <c r="K35" s="99"/>
      <c r="L35" s="51" t="s">
        <v>162</v>
      </c>
      <c r="M35" s="51"/>
      <c r="N35" s="51"/>
      <c r="O35" s="53"/>
      <c r="P35" s="99"/>
      <c r="Q35" s="51" t="s">
        <v>185</v>
      </c>
      <c r="R35" s="53"/>
      <c r="S35" s="53"/>
      <c r="T35" s="53"/>
      <c r="U35" s="368"/>
      <c r="V35" s="53"/>
      <c r="W35" s="53"/>
      <c r="X35" s="53"/>
      <c r="Y35" s="53"/>
      <c r="Z35" s="53"/>
      <c r="AA35" s="53"/>
      <c r="AB35" s="53"/>
      <c r="AC35" s="53"/>
      <c r="AD35"/>
      <c r="AE35" s="6"/>
      <c r="AF35" s="3"/>
      <c r="AG35" s="70" t="str">
        <f t="shared" ref="AG35" si="63">IF(AN35&gt;0,CONCATENATE("qty ",AN35,") ",AO35,"   "),"")</f>
        <v/>
      </c>
      <c r="AK35" t="s">
        <v>213</v>
      </c>
      <c r="AL35" s="172">
        <f t="shared" si="29"/>
        <v>0</v>
      </c>
      <c r="AM35" s="16" t="b">
        <f t="shared" si="30"/>
        <v>0</v>
      </c>
      <c r="AN35" s="16">
        <f t="shared" si="31"/>
        <v>0</v>
      </c>
      <c r="AO35" s="303" t="s">
        <v>1119</v>
      </c>
      <c r="AP35" s="229">
        <v>502</v>
      </c>
      <c r="AR35" s="9">
        <f t="shared" si="19"/>
        <v>0</v>
      </c>
      <c r="AS35" s="51" t="s">
        <v>121</v>
      </c>
      <c r="AT35" s="35">
        <v>50</v>
      </c>
      <c r="AU35" s="35">
        <v>50</v>
      </c>
      <c r="AW35" s="296">
        <f t="shared" si="3"/>
        <v>0</v>
      </c>
      <c r="AX35" s="298"/>
      <c r="AZ35" s="15">
        <f>IF(K35="",0,1)</f>
        <v>0</v>
      </c>
      <c r="BC35" s="3" t="s">
        <v>161</v>
      </c>
      <c r="BH35" s="15">
        <f>IF(P33="",0,1)</f>
        <v>0</v>
      </c>
      <c r="BI35" s="45">
        <f>+BH35*0</f>
        <v>0</v>
      </c>
      <c r="BJ35" s="3" t="s">
        <v>183</v>
      </c>
      <c r="BL35" s="156" t="s">
        <v>27</v>
      </c>
      <c r="BN35" s="33">
        <f t="shared" si="43"/>
        <v>0</v>
      </c>
      <c r="BO35" s="33">
        <f t="shared" si="24"/>
        <v>0</v>
      </c>
      <c r="BP35" s="2">
        <f t="shared" ref="BP35:BP60" si="64">+$BN$72</f>
        <v>0</v>
      </c>
      <c r="BQ35">
        <f>+$BH$7</f>
        <v>0</v>
      </c>
      <c r="BR35" s="42">
        <f t="shared" ref="BR35:BR60" si="65">+$BI$31</f>
        <v>0</v>
      </c>
      <c r="BS35" s="42">
        <f t="shared" si="59"/>
        <v>0</v>
      </c>
      <c r="BV35">
        <f t="shared" si="9"/>
        <v>0</v>
      </c>
      <c r="BW35" s="42">
        <f t="shared" ref="BW35:BW41" si="66">IF($BH$24+$BH$26&gt;0,$AZ$51*2,$AZ$51)</f>
        <v>0</v>
      </c>
      <c r="BX35" s="42"/>
      <c r="BY35">
        <f t="shared" si="21"/>
        <v>0</v>
      </c>
      <c r="CA35" s="107">
        <f>IF(SUM(CA32,CA33,CA34)&gt;0,1,0)</f>
        <v>0</v>
      </c>
      <c r="CB35" s="107" t="s">
        <v>1002</v>
      </c>
      <c r="CD35" s="133">
        <f t="shared" si="52"/>
        <v>0</v>
      </c>
      <c r="CE35" s="134" t="s">
        <v>378</v>
      </c>
      <c r="CG35" s="123">
        <f>IF(AND(SUM(CG5:CG16)&gt;0,SUM(CG20:CG34)&gt;0)=TRUE,1,0)</f>
        <v>0</v>
      </c>
      <c r="CH35" s="137" t="s">
        <v>1171</v>
      </c>
      <c r="CJ35" s="120">
        <f>+AL67</f>
        <v>0</v>
      </c>
      <c r="CK35" s="138" t="s">
        <v>381</v>
      </c>
      <c r="CM35" s="120">
        <f>+AL64</f>
        <v>0</v>
      </c>
      <c r="CN35" s="138" t="s">
        <v>378</v>
      </c>
      <c r="CO35" s="121"/>
      <c r="CP35" s="120">
        <f t="shared" si="62"/>
        <v>0</v>
      </c>
      <c r="CQ35" s="137" t="s">
        <v>113</v>
      </c>
      <c r="CS35" s="125"/>
      <c r="CT35" s="126"/>
      <c r="CV35" s="181" t="s">
        <v>1119</v>
      </c>
      <c r="CW35" s="70">
        <f t="shared" si="33"/>
        <v>0</v>
      </c>
      <c r="CX35" s="308" t="str">
        <f>IF(BD16=1,"LTS876","LT876")</f>
        <v>LT876</v>
      </c>
      <c r="CY35" s="70" t="e">
        <f t="shared" si="13"/>
        <v>#N/A</v>
      </c>
      <c r="CZ35" s="70" t="e">
        <f>VLOOKUP(1,$BH$23:$BL$29,5,FALSE)</f>
        <v>#N/A</v>
      </c>
      <c r="DA35" s="70" t="e">
        <f t="shared" ref="DA35:DA69" si="67">LEFT(VLOOKUP(1,$AR$3:$AS$56,2,FALSE),2)</f>
        <v>#N/A</v>
      </c>
      <c r="DB35" s="192" t="e">
        <f t="shared" ref="DB35:DB60" si="68">IF($BA$7=1,"",VLOOKUP(1,$DB$74:$DD$75,2,FALSE))</f>
        <v>#N/A</v>
      </c>
      <c r="DC35" s="70" t="str">
        <f t="shared" ref="DC35:DC41" si="69">IF($BA$7+$CM$8=2,"WR","R")</f>
        <v>R</v>
      </c>
      <c r="DD35" s="70" t="str">
        <f t="shared" ref="DD35:DD60" si="70">IF($AZ$16=1,"B Cstm  "," Cstm  "  )</f>
        <v xml:space="preserve"> Cstm  </v>
      </c>
      <c r="DE35" s="70" t="e">
        <f>IF($CM$8=1,CONCATENATE(CY35,CZ35,DA35,DB35,DC35,DD35),CONCATENATE(CY35,CZ35,DA35,DB35,DD35))</f>
        <v>#N/A</v>
      </c>
      <c r="DF35" s="70" t="b">
        <f>ISERROR(DE35)</f>
        <v>1</v>
      </c>
      <c r="DG35" s="306" t="str">
        <f>IF(DF35=FALSE,DE35,"")</f>
        <v/>
      </c>
      <c r="DK35" s="217" t="s">
        <v>1144</v>
      </c>
      <c r="DM35" t="s">
        <v>327</v>
      </c>
      <c r="DN35" s="39">
        <v>0</v>
      </c>
      <c r="DO35" s="218"/>
      <c r="ED35" s="89" t="s">
        <v>15</v>
      </c>
      <c r="EE35" s="3" t="e">
        <f>VLOOKUP(1,BH35:BJ38,3,FALSE)</f>
        <v>#N/A</v>
      </c>
      <c r="EF35" s="3"/>
      <c r="EG35" s="89" t="s">
        <v>33</v>
      </c>
      <c r="EH35" s="3" t="e">
        <f>+EH15</f>
        <v>#N/A</v>
      </c>
      <c r="EJ35" t="s">
        <v>398</v>
      </c>
    </row>
    <row r="36" spans="1:140" ht="15" thickBot="1" x14ac:dyDescent="0.35">
      <c r="A36" s="384"/>
      <c r="B36" s="95"/>
      <c r="C36" s="153" t="s">
        <v>68</v>
      </c>
      <c r="D36" s="75"/>
      <c r="E36" s="75"/>
      <c r="F36" s="98"/>
      <c r="G36" s="51" t="s">
        <v>122</v>
      </c>
      <c r="H36" s="51"/>
      <c r="I36" s="51"/>
      <c r="J36" s="51"/>
      <c r="K36" s="170"/>
      <c r="L36" s="170"/>
      <c r="M36" s="170"/>
      <c r="N36" s="51"/>
      <c r="O36" s="53"/>
      <c r="P36" s="99"/>
      <c r="Q36" s="51" t="s">
        <v>326</v>
      </c>
      <c r="R36" s="53"/>
      <c r="S36" s="53"/>
      <c r="T36" s="53"/>
      <c r="X36" s="53"/>
      <c r="Y36" s="53"/>
      <c r="Z36" s="53"/>
      <c r="AA36" s="53"/>
      <c r="AB36" s="53"/>
      <c r="AC36" s="53"/>
      <c r="AD36"/>
      <c r="AE36" s="3"/>
      <c r="AF36" s="3"/>
      <c r="AG36" s="70" t="str">
        <f t="shared" si="28"/>
        <v/>
      </c>
      <c r="AK36" t="s">
        <v>213</v>
      </c>
      <c r="AL36" s="172">
        <f t="shared" si="29"/>
        <v>0</v>
      </c>
      <c r="AM36" s="16" t="b">
        <f t="shared" si="30"/>
        <v>0</v>
      </c>
      <c r="AN36" s="16">
        <f t="shared" si="31"/>
        <v>0</v>
      </c>
      <c r="AO36" s="3" t="s">
        <v>358</v>
      </c>
      <c r="AP36" s="229">
        <v>502</v>
      </c>
      <c r="AR36" s="9">
        <f t="shared" si="19"/>
        <v>0</v>
      </c>
      <c r="AS36" s="51" t="s">
        <v>122</v>
      </c>
      <c r="AT36" s="35">
        <v>50</v>
      </c>
      <c r="AU36" s="35">
        <v>50</v>
      </c>
      <c r="AW36" s="296">
        <f t="shared" si="3"/>
        <v>0</v>
      </c>
      <c r="AX36" s="298"/>
      <c r="BC36" s="3" t="s">
        <v>162</v>
      </c>
      <c r="BH36" s="15">
        <f>IF(P34="",0,1)</f>
        <v>0</v>
      </c>
      <c r="BI36" s="45">
        <f>+BH36*0</f>
        <v>0</v>
      </c>
      <c r="BJ36" s="3" t="s">
        <v>184</v>
      </c>
      <c r="BL36" s="156" t="s">
        <v>550</v>
      </c>
      <c r="BN36" s="33">
        <f t="shared" si="43"/>
        <v>0</v>
      </c>
      <c r="BO36" s="33">
        <f t="shared" si="24"/>
        <v>0</v>
      </c>
      <c r="BP36" s="2">
        <f t="shared" si="64"/>
        <v>0</v>
      </c>
      <c r="BQ36">
        <f t="shared" ref="BQ36:BQ60" si="71">+$BH$7</f>
        <v>0</v>
      </c>
      <c r="BR36" s="42">
        <f t="shared" si="65"/>
        <v>0</v>
      </c>
      <c r="BS36" s="42">
        <f t="shared" si="59"/>
        <v>0</v>
      </c>
      <c r="BV36">
        <f t="shared" si="9"/>
        <v>0</v>
      </c>
      <c r="BW36" s="42">
        <f t="shared" si="66"/>
        <v>0</v>
      </c>
      <c r="BX36" s="42"/>
      <c r="BY36">
        <f t="shared" si="21"/>
        <v>0</v>
      </c>
      <c r="CA36" s="108" t="s">
        <v>1004</v>
      </c>
      <c r="CB36" s="110"/>
      <c r="CD36" s="133">
        <f>+AL67</f>
        <v>0</v>
      </c>
      <c r="CE36" s="134" t="s">
        <v>381</v>
      </c>
      <c r="CG36" s="120"/>
      <c r="CH36" s="122"/>
      <c r="CJ36" s="123">
        <f>+CJ35*CJ33</f>
        <v>0</v>
      </c>
      <c r="CK36" s="139" t="s">
        <v>452</v>
      </c>
      <c r="CM36" s="120">
        <f>+AL66</f>
        <v>0</v>
      </c>
      <c r="CN36" s="138" t="s">
        <v>380</v>
      </c>
      <c r="CO36" s="121"/>
      <c r="CP36" s="120">
        <f t="shared" si="62"/>
        <v>0</v>
      </c>
      <c r="CQ36" s="137" t="s">
        <v>114</v>
      </c>
      <c r="CV36" s="3" t="s">
        <v>358</v>
      </c>
      <c r="CW36">
        <f t="shared" si="33"/>
        <v>0</v>
      </c>
      <c r="CX36" s="42" t="str">
        <f>IF(BD16=1,"LTS886","LT886")</f>
        <v>LT886</v>
      </c>
      <c r="CY36" t="e">
        <f t="shared" ref="CY36:CY69" si="72">VLOOKUP(1,CW36:CX36,2,FALSE)</f>
        <v>#N/A</v>
      </c>
      <c r="CZ36" t="e">
        <f>VLOOKUP(1,$BH$23:$BL$29,5,FALSE)</f>
        <v>#N/A</v>
      </c>
      <c r="DA36" t="e">
        <f t="shared" si="67"/>
        <v>#N/A</v>
      </c>
      <c r="DB36" s="38" t="e">
        <f t="shared" si="68"/>
        <v>#N/A</v>
      </c>
      <c r="DC36" t="str">
        <f t="shared" si="69"/>
        <v>R</v>
      </c>
      <c r="DD36" t="str">
        <f t="shared" si="70"/>
        <v xml:space="preserve"> Cstm  </v>
      </c>
      <c r="DE36" t="e">
        <f>IF($CM$8=1,CONCATENATE(CY36,CZ36,DA36,DB36,DC36,DD36),CONCATENATE(CY36,CZ36,DA36,DB36,DD36))</f>
        <v>#N/A</v>
      </c>
      <c r="DF36" t="b">
        <f>ISERROR(DE36)</f>
        <v>1</v>
      </c>
      <c r="DG36" s="161" t="str">
        <f>IF(DF36=FALSE,DE36,"")</f>
        <v/>
      </c>
      <c r="DK36" s="217"/>
      <c r="DO36" s="218"/>
      <c r="ED36" s="3"/>
      <c r="EE36" s="3"/>
      <c r="EF36" s="3"/>
      <c r="EG36" s="3"/>
      <c r="EH36" s="3"/>
      <c r="EJ36" t="s">
        <v>398</v>
      </c>
    </row>
    <row r="37" spans="1:140" ht="15.6" x14ac:dyDescent="0.3">
      <c r="A37" s="384"/>
      <c r="B37" s="95"/>
      <c r="C37" s="74" t="s">
        <v>70</v>
      </c>
      <c r="D37" s="75"/>
      <c r="E37" s="75"/>
      <c r="F37" s="98"/>
      <c r="G37" s="51" t="s">
        <v>127</v>
      </c>
      <c r="H37" s="51"/>
      <c r="I37" s="51"/>
      <c r="J37" s="51"/>
      <c r="K37" s="170"/>
      <c r="L37" s="170"/>
      <c r="M37" s="170"/>
      <c r="N37" s="3"/>
      <c r="O37" s="53"/>
      <c r="P37" s="53"/>
      <c r="Q37" s="114" t="s">
        <v>581</v>
      </c>
      <c r="R37" s="53"/>
      <c r="S37" s="53"/>
      <c r="T37" s="53"/>
      <c r="U37" s="368"/>
      <c r="V37" s="53"/>
      <c r="W37" s="53"/>
      <c r="X37" s="51"/>
      <c r="Y37" s="51"/>
      <c r="Z37" s="51"/>
      <c r="AA37" s="51"/>
      <c r="AB37" s="51"/>
      <c r="AC37" s="51"/>
      <c r="AD37"/>
      <c r="AG37" s="70" t="str">
        <f t="shared" si="28"/>
        <v/>
      </c>
      <c r="AK37" t="s">
        <v>213</v>
      </c>
      <c r="AL37" s="9">
        <f t="shared" si="29"/>
        <v>0</v>
      </c>
      <c r="AM37" s="16" t="b">
        <f t="shared" si="30"/>
        <v>0</v>
      </c>
      <c r="AN37" s="16">
        <f t="shared" si="31"/>
        <v>0</v>
      </c>
      <c r="AO37" s="3" t="s">
        <v>360</v>
      </c>
      <c r="AP37" s="24">
        <v>508</v>
      </c>
      <c r="AR37" s="9">
        <f t="shared" si="19"/>
        <v>0</v>
      </c>
      <c r="AS37" s="51" t="s">
        <v>127</v>
      </c>
      <c r="AT37" s="35">
        <v>50</v>
      </c>
      <c r="AU37" s="35">
        <v>50</v>
      </c>
      <c r="AW37" s="296">
        <f t="shared" si="3"/>
        <v>0</v>
      </c>
      <c r="AX37" s="298"/>
      <c r="BH37" s="15">
        <f>IF(P35="",0,1)</f>
        <v>0</v>
      </c>
      <c r="BI37" s="45">
        <f>BH37*DN34</f>
        <v>0</v>
      </c>
      <c r="BJ37" s="3" t="s">
        <v>185</v>
      </c>
      <c r="BL37" s="156" t="s">
        <v>545</v>
      </c>
      <c r="BN37" s="33">
        <f t="shared" si="43"/>
        <v>0</v>
      </c>
      <c r="BO37" s="33">
        <f t="shared" si="24"/>
        <v>0</v>
      </c>
      <c r="BP37" s="2">
        <f t="shared" si="64"/>
        <v>0</v>
      </c>
      <c r="BQ37">
        <f t="shared" si="71"/>
        <v>0</v>
      </c>
      <c r="BR37" s="42">
        <f t="shared" si="65"/>
        <v>0</v>
      </c>
      <c r="BS37" s="42">
        <f t="shared" si="59"/>
        <v>0</v>
      </c>
      <c r="BV37">
        <f t="shared" si="9"/>
        <v>0</v>
      </c>
      <c r="BW37" s="42">
        <f t="shared" si="66"/>
        <v>0</v>
      </c>
      <c r="BX37" s="42"/>
      <c r="BY37">
        <f t="shared" si="21"/>
        <v>0</v>
      </c>
      <c r="CA37" s="107">
        <f>+BH24</f>
        <v>0</v>
      </c>
      <c r="CB37" s="109" t="s">
        <v>174</v>
      </c>
      <c r="CD37" s="133">
        <f>+AL68</f>
        <v>0</v>
      </c>
      <c r="CE37" s="134" t="s">
        <v>382</v>
      </c>
      <c r="CG37" s="120" t="s">
        <v>437</v>
      </c>
      <c r="CH37" s="132"/>
      <c r="CJ37" s="120"/>
      <c r="CK37" s="138"/>
      <c r="CM37" s="120">
        <f>+AL67</f>
        <v>0</v>
      </c>
      <c r="CN37" s="138" t="s">
        <v>381</v>
      </c>
      <c r="CO37" s="121"/>
      <c r="CP37" s="120">
        <f>SUM(CP31:CP36)</f>
        <v>0</v>
      </c>
      <c r="CQ37" s="137" t="s">
        <v>481</v>
      </c>
      <c r="CV37" s="3" t="s">
        <v>359</v>
      </c>
      <c r="CW37">
        <f t="shared" si="33"/>
        <v>0</v>
      </c>
      <c r="CX37" s="42" t="str">
        <f>IF(BD16=1,"LTS888","LT888")</f>
        <v>LT888</v>
      </c>
      <c r="CY37" t="e">
        <f t="shared" si="72"/>
        <v>#N/A</v>
      </c>
      <c r="CZ37" t="e">
        <f t="shared" ref="CZ37:CZ60" si="73">VLOOKUP(1,$BH$23:$BL$29,5,FALSE)</f>
        <v>#N/A</v>
      </c>
      <c r="DA37" t="e">
        <f t="shared" si="67"/>
        <v>#N/A</v>
      </c>
      <c r="DB37" s="38" t="e">
        <f t="shared" si="68"/>
        <v>#N/A</v>
      </c>
      <c r="DC37" t="str">
        <f t="shared" si="69"/>
        <v>R</v>
      </c>
      <c r="DD37" t="str">
        <f t="shared" si="70"/>
        <v xml:space="preserve"> Cstm  </v>
      </c>
      <c r="DE37" t="e">
        <f t="shared" ref="DE37:DE60" si="74">IF($CM$8=1,CONCATENATE(CY37,CZ37,DA37,DB37,DC37,DD37),CONCATENATE(CY37,CZ37,DA37,DB37,DD37))</f>
        <v>#N/A</v>
      </c>
      <c r="DF37" t="b">
        <f>ISERROR(DE37)</f>
        <v>1</v>
      </c>
      <c r="DG37" s="162" t="str">
        <f t="shared" ref="DG37:DG60" si="75">IF(DF37=FALSE,DE37,"")</f>
        <v/>
      </c>
      <c r="DK37" s="217"/>
      <c r="DM37" s="192" t="s">
        <v>309</v>
      </c>
      <c r="DN37" s="39"/>
      <c r="DO37" s="218"/>
      <c r="ED37" s="66" t="str">
        <f>IF(AN74=1,"Snare Drum",CONCATENATE(AN74," Snare Drums Chosen"))</f>
        <v>0 Snare Drums Chosen</v>
      </c>
      <c r="EE37" s="187" t="s">
        <v>639</v>
      </c>
      <c r="EF37" s="3"/>
      <c r="EG37" s="3"/>
      <c r="EH37" s="3"/>
      <c r="EJ37" t="s">
        <v>398</v>
      </c>
    </row>
    <row r="38" spans="1:140" x14ac:dyDescent="0.3">
      <c r="A38" s="384"/>
      <c r="B38" s="95"/>
      <c r="C38" s="74" t="s">
        <v>69</v>
      </c>
      <c r="D38" s="75"/>
      <c r="E38" s="75"/>
      <c r="F38" s="98"/>
      <c r="G38" s="111" t="s">
        <v>1130</v>
      </c>
      <c r="H38" s="51"/>
      <c r="I38" s="51"/>
      <c r="J38" s="51"/>
      <c r="K38" s="60" t="s">
        <v>232</v>
      </c>
      <c r="L38" s="51"/>
      <c r="M38" s="51"/>
      <c r="N38" s="51"/>
      <c r="O38" s="51"/>
      <c r="P38" s="60" t="s">
        <v>197</v>
      </c>
      <c r="Q38" s="53"/>
      <c r="R38" s="51"/>
      <c r="S38" s="51"/>
      <c r="T38" s="51"/>
      <c r="U38" s="368"/>
      <c r="V38" s="53"/>
      <c r="W38" s="53"/>
      <c r="X38" s="51"/>
      <c r="Y38" s="51"/>
      <c r="Z38" s="51"/>
      <c r="AA38" s="51"/>
      <c r="AB38" s="51"/>
      <c r="AC38" s="51"/>
      <c r="AD38"/>
      <c r="AG38" s="70" t="str">
        <f t="shared" si="28"/>
        <v/>
      </c>
      <c r="AK38" t="s">
        <v>213</v>
      </c>
      <c r="AL38" s="9">
        <f t="shared" si="29"/>
        <v>0</v>
      </c>
      <c r="AM38" s="16" t="b">
        <f t="shared" si="30"/>
        <v>0</v>
      </c>
      <c r="AN38" s="16">
        <f t="shared" si="31"/>
        <v>0</v>
      </c>
      <c r="AO38" s="3" t="s">
        <v>359</v>
      </c>
      <c r="AP38" s="24">
        <v>508</v>
      </c>
      <c r="AR38" s="9">
        <f t="shared" si="19"/>
        <v>0</v>
      </c>
      <c r="AS38" s="111" t="s">
        <v>1130</v>
      </c>
      <c r="AT38" s="35">
        <v>0</v>
      </c>
      <c r="AU38" s="35">
        <v>0</v>
      </c>
      <c r="AW38" s="296">
        <f t="shared" si="3"/>
        <v>0</v>
      </c>
      <c r="AX38" s="298"/>
      <c r="AZ38" s="12" t="s">
        <v>235</v>
      </c>
      <c r="BA38" s="3" t="s">
        <v>227</v>
      </c>
      <c r="BB38" s="3"/>
      <c r="BH38" s="15">
        <f>IF(P36="",0,1)</f>
        <v>0</v>
      </c>
      <c r="BI38" s="45">
        <f>+BH38*DN35</f>
        <v>0</v>
      </c>
      <c r="BJ38" s="3" t="s">
        <v>327</v>
      </c>
      <c r="BL38" s="156" t="s">
        <v>551</v>
      </c>
      <c r="BN38" s="33">
        <f t="shared" si="43"/>
        <v>0</v>
      </c>
      <c r="BO38" s="33">
        <f t="shared" si="24"/>
        <v>0</v>
      </c>
      <c r="BP38" s="2">
        <f t="shared" si="64"/>
        <v>0</v>
      </c>
      <c r="BQ38">
        <f t="shared" si="71"/>
        <v>0</v>
      </c>
      <c r="BR38" s="42">
        <f t="shared" si="65"/>
        <v>0</v>
      </c>
      <c r="BS38" s="42">
        <f t="shared" si="59"/>
        <v>0</v>
      </c>
      <c r="BV38">
        <f t="shared" si="9"/>
        <v>0</v>
      </c>
      <c r="BW38" s="42">
        <f t="shared" si="66"/>
        <v>0</v>
      </c>
      <c r="BX38" s="42"/>
      <c r="BY38">
        <f t="shared" si="21"/>
        <v>0</v>
      </c>
      <c r="CA38" s="107">
        <f>+BH25</f>
        <v>0</v>
      </c>
      <c r="CB38" s="109" t="s">
        <v>175</v>
      </c>
      <c r="CD38" s="133">
        <f>+AL69</f>
        <v>0</v>
      </c>
      <c r="CE38" s="134" t="s">
        <v>383</v>
      </c>
      <c r="CG38" s="120">
        <f t="shared" ref="CG38:CG69" si="76">+AR3</f>
        <v>0</v>
      </c>
      <c r="CH38" s="373" t="s">
        <v>119</v>
      </c>
      <c r="CJ38" s="120" t="s">
        <v>454</v>
      </c>
      <c r="CK38" s="122"/>
      <c r="CM38" s="120">
        <f>+AL69</f>
        <v>0</v>
      </c>
      <c r="CN38" s="138" t="s">
        <v>383</v>
      </c>
      <c r="CO38" s="121"/>
      <c r="CP38" s="120"/>
      <c r="CQ38" s="122"/>
      <c r="CS38" s="118" t="s">
        <v>576</v>
      </c>
      <c r="CT38" s="119"/>
      <c r="CV38" s="3" t="s">
        <v>360</v>
      </c>
      <c r="CW38">
        <f t="shared" si="33"/>
        <v>0</v>
      </c>
      <c r="CX38" s="42" t="str">
        <f>IF(BD16=1,"LTS878","LT878")</f>
        <v>LT878</v>
      </c>
      <c r="CY38" t="e">
        <f t="shared" si="72"/>
        <v>#N/A</v>
      </c>
      <c r="CZ38" t="e">
        <f t="shared" si="73"/>
        <v>#N/A</v>
      </c>
      <c r="DA38" t="e">
        <f t="shared" si="67"/>
        <v>#N/A</v>
      </c>
      <c r="DB38" s="38" t="e">
        <f t="shared" si="68"/>
        <v>#N/A</v>
      </c>
      <c r="DC38" t="str">
        <f t="shared" si="69"/>
        <v>R</v>
      </c>
      <c r="DD38" t="str">
        <f t="shared" si="70"/>
        <v xml:space="preserve"> Cstm  </v>
      </c>
      <c r="DE38" t="e">
        <f t="shared" si="74"/>
        <v>#N/A</v>
      </c>
      <c r="DF38" t="b">
        <f t="shared" ref="DF38:DF69" si="77">ISERROR(DE38)</f>
        <v>1</v>
      </c>
      <c r="DG38" s="162" t="str">
        <f t="shared" si="75"/>
        <v/>
      </c>
      <c r="DK38" s="217" t="s">
        <v>903</v>
      </c>
      <c r="DM38" t="s">
        <v>174</v>
      </c>
      <c r="DN38" s="39">
        <v>50</v>
      </c>
      <c r="DO38" s="218"/>
      <c r="ED38" s="386" t="str">
        <f>+DI69</f>
        <v/>
      </c>
      <c r="EE38" s="386"/>
      <c r="EF38" s="386"/>
      <c r="EG38" s="386"/>
      <c r="EH38" s="386"/>
      <c r="EJ38" t="s">
        <v>398</v>
      </c>
    </row>
    <row r="39" spans="1:140" x14ac:dyDescent="0.3">
      <c r="A39" s="384"/>
      <c r="B39" s="95"/>
      <c r="C39" s="74" t="s">
        <v>71</v>
      </c>
      <c r="D39" s="75"/>
      <c r="E39" s="75"/>
      <c r="F39" s="98"/>
      <c r="G39" s="111" t="s">
        <v>1127</v>
      </c>
      <c r="H39" s="51"/>
      <c r="I39" s="51"/>
      <c r="J39" s="51"/>
      <c r="K39" s="99"/>
      <c r="L39" s="54" t="s">
        <v>186</v>
      </c>
      <c r="M39" s="51"/>
      <c r="N39" s="51"/>
      <c r="O39" s="51"/>
      <c r="P39" s="99"/>
      <c r="Q39" s="54" t="s">
        <v>198</v>
      </c>
      <c r="R39" s="51"/>
      <c r="S39" s="51"/>
      <c r="T39" s="51"/>
      <c r="U39" s="368"/>
      <c r="V39" s="53"/>
      <c r="W39" s="53"/>
      <c r="X39" s="53"/>
      <c r="Y39" s="51"/>
      <c r="Z39" s="51"/>
      <c r="AA39" s="51"/>
      <c r="AB39" s="51"/>
      <c r="AC39" s="51"/>
      <c r="AD39"/>
      <c r="AG39" s="70" t="str">
        <f t="shared" si="28"/>
        <v/>
      </c>
      <c r="AK39" t="s">
        <v>213</v>
      </c>
      <c r="AL39" s="9">
        <f t="shared" ref="AL39:AL69" si="78">IF(B39="",0,1)</f>
        <v>0</v>
      </c>
      <c r="AM39" s="16" t="b">
        <f t="shared" si="30"/>
        <v>0</v>
      </c>
      <c r="AN39" s="16">
        <f t="shared" ref="AN39:AN69" si="79">IF(AM39=TRUE,B39,AL39)</f>
        <v>0</v>
      </c>
      <c r="AO39" s="3" t="s">
        <v>361</v>
      </c>
      <c r="AP39" s="24">
        <v>616</v>
      </c>
      <c r="AR39" s="9">
        <f t="shared" si="19"/>
        <v>0</v>
      </c>
      <c r="AS39" s="111" t="s">
        <v>1127</v>
      </c>
      <c r="AT39" s="35">
        <v>0</v>
      </c>
      <c r="AU39" s="35">
        <v>0</v>
      </c>
      <c r="AW39" s="296">
        <f t="shared" si="3"/>
        <v>0</v>
      </c>
      <c r="AX39" s="298"/>
      <c r="AZ39" s="15">
        <f>IF(K39="",0,1)</f>
        <v>0</v>
      </c>
      <c r="BA39" s="39">
        <f>+AZ39*0</f>
        <v>0</v>
      </c>
      <c r="BB39" s="3" t="s">
        <v>186</v>
      </c>
      <c r="BG39" s="18" t="s">
        <v>204</v>
      </c>
      <c r="BH39" s="2">
        <f>SUM(BH35:BH38)</f>
        <v>0</v>
      </c>
      <c r="BI39" s="44">
        <f>SUM(BI35:BI38)</f>
        <v>0</v>
      </c>
      <c r="BJ39" s="24" t="s">
        <v>227</v>
      </c>
      <c r="BN39" s="33">
        <f t="shared" si="43"/>
        <v>0</v>
      </c>
      <c r="BO39" s="33">
        <f t="shared" si="24"/>
        <v>0</v>
      </c>
      <c r="BP39" s="2">
        <f t="shared" si="64"/>
        <v>0</v>
      </c>
      <c r="BQ39">
        <f t="shared" si="71"/>
        <v>0</v>
      </c>
      <c r="BR39" s="42">
        <f t="shared" si="65"/>
        <v>0</v>
      </c>
      <c r="BS39" s="42">
        <f t="shared" si="59"/>
        <v>0</v>
      </c>
      <c r="BV39">
        <f t="shared" si="9"/>
        <v>0</v>
      </c>
      <c r="BW39" s="42">
        <f t="shared" si="66"/>
        <v>0</v>
      </c>
      <c r="BX39" s="42"/>
      <c r="BY39">
        <f t="shared" si="21"/>
        <v>0</v>
      </c>
      <c r="CA39" s="107">
        <f>+BH26</f>
        <v>0</v>
      </c>
      <c r="CB39" s="109" t="s">
        <v>176</v>
      </c>
      <c r="CD39" s="133"/>
      <c r="CE39" s="134" t="s">
        <v>425</v>
      </c>
      <c r="CG39" s="120">
        <f t="shared" si="76"/>
        <v>0</v>
      </c>
      <c r="CH39" s="374" t="s">
        <v>131</v>
      </c>
      <c r="CJ39" s="120">
        <f>+BE4</f>
        <v>0</v>
      </c>
      <c r="CK39" s="138" t="s">
        <v>456</v>
      </c>
      <c r="CM39" s="120">
        <f>SUM(CM32:CM38)</f>
        <v>0</v>
      </c>
      <c r="CN39" s="138" t="s">
        <v>469</v>
      </c>
      <c r="CO39" s="121"/>
      <c r="CP39" s="120">
        <f>SUM(AL4:AL60,AL67)</f>
        <v>0</v>
      </c>
      <c r="CQ39" s="138" t="s">
        <v>449</v>
      </c>
      <c r="CS39" s="120"/>
      <c r="CT39" s="122"/>
      <c r="CV39" s="3" t="s">
        <v>361</v>
      </c>
      <c r="CW39">
        <f t="shared" ref="CW39:CW69" si="80">AL39</f>
        <v>0</v>
      </c>
      <c r="CX39" s="42" t="str">
        <f>IF(BD16=1,"LTS870","LT870")</f>
        <v>LT870</v>
      </c>
      <c r="CY39" t="e">
        <f t="shared" si="72"/>
        <v>#N/A</v>
      </c>
      <c r="CZ39" t="e">
        <f t="shared" si="73"/>
        <v>#N/A</v>
      </c>
      <c r="DA39" t="e">
        <f t="shared" si="67"/>
        <v>#N/A</v>
      </c>
      <c r="DB39" s="38" t="e">
        <f t="shared" si="68"/>
        <v>#N/A</v>
      </c>
      <c r="DC39" t="str">
        <f t="shared" si="69"/>
        <v>R</v>
      </c>
      <c r="DD39" t="str">
        <f t="shared" si="70"/>
        <v xml:space="preserve"> Cstm  </v>
      </c>
      <c r="DE39" t="e">
        <f t="shared" si="74"/>
        <v>#N/A</v>
      </c>
      <c r="DF39" t="b">
        <f t="shared" si="77"/>
        <v>1</v>
      </c>
      <c r="DG39" s="162" t="str">
        <f t="shared" si="75"/>
        <v/>
      </c>
      <c r="DK39" s="217" t="s">
        <v>904</v>
      </c>
      <c r="DM39" t="s">
        <v>175</v>
      </c>
      <c r="DN39" s="39">
        <v>50</v>
      </c>
      <c r="DO39" s="218"/>
      <c r="ED39" s="89" t="s">
        <v>0</v>
      </c>
      <c r="EE39" s="3" t="s">
        <v>498</v>
      </c>
      <c r="EF39" s="3"/>
      <c r="EG39" s="10"/>
      <c r="EH39" s="185"/>
      <c r="EJ39" t="s">
        <v>398</v>
      </c>
    </row>
    <row r="40" spans="1:140" x14ac:dyDescent="0.3">
      <c r="A40" s="384"/>
      <c r="B40" s="95"/>
      <c r="C40" s="153" t="s">
        <v>1112</v>
      </c>
      <c r="D40" s="75"/>
      <c r="E40" s="75"/>
      <c r="F40" s="98"/>
      <c r="G40" s="111" t="s">
        <v>1128</v>
      </c>
      <c r="H40" s="51"/>
      <c r="I40" s="51"/>
      <c r="J40" s="51"/>
      <c r="K40" s="99"/>
      <c r="L40" s="51" t="s">
        <v>187</v>
      </c>
      <c r="M40" s="51"/>
      <c r="N40" s="51"/>
      <c r="O40" s="51"/>
      <c r="P40" s="99"/>
      <c r="Q40" s="51" t="s">
        <v>199</v>
      </c>
      <c r="R40" s="51"/>
      <c r="S40" s="51"/>
      <c r="T40" s="51"/>
      <c r="U40" s="368"/>
      <c r="V40" s="53"/>
      <c r="W40" s="53"/>
      <c r="X40" s="53"/>
      <c r="Y40" s="51"/>
      <c r="Z40" s="51"/>
      <c r="AA40" s="51"/>
      <c r="AB40" s="51"/>
      <c r="AC40" s="51"/>
      <c r="AD40"/>
      <c r="AG40" s="70" t="str">
        <f t="shared" ref="AG40" si="81">IF(AN40&gt;0,CONCATENATE("qty ",AN40,") ",AO40,"   "),"")</f>
        <v/>
      </c>
      <c r="AK40" t="s">
        <v>213</v>
      </c>
      <c r="AL40" s="9">
        <f t="shared" si="78"/>
        <v>0</v>
      </c>
      <c r="AM40" s="16" t="b">
        <f t="shared" si="30"/>
        <v>0</v>
      </c>
      <c r="AN40" s="16">
        <f t="shared" si="79"/>
        <v>0</v>
      </c>
      <c r="AO40" s="181" t="s">
        <v>1120</v>
      </c>
      <c r="AP40" s="24">
        <v>616</v>
      </c>
      <c r="AR40" s="9">
        <f t="shared" si="19"/>
        <v>0</v>
      </c>
      <c r="AS40" s="111" t="s">
        <v>1128</v>
      </c>
      <c r="AT40" s="35">
        <v>0</v>
      </c>
      <c r="AU40" s="35">
        <v>0</v>
      </c>
      <c r="AW40" s="296">
        <f t="shared" si="3"/>
        <v>0</v>
      </c>
      <c r="AX40" s="298"/>
      <c r="AZ40" s="15">
        <f>IF(K40="",0,1)</f>
        <v>0</v>
      </c>
      <c r="BA40" s="39">
        <f>+AZ40*DN45</f>
        <v>0</v>
      </c>
      <c r="BB40" s="3" t="s">
        <v>187</v>
      </c>
      <c r="BE40" s="14" t="s">
        <v>197</v>
      </c>
      <c r="BF40" s="14"/>
      <c r="BG40" s="14"/>
      <c r="BN40" s="33">
        <f t="shared" si="43"/>
        <v>0</v>
      </c>
      <c r="BO40" s="33">
        <f t="shared" si="24"/>
        <v>0</v>
      </c>
      <c r="BP40" s="2">
        <f t="shared" si="64"/>
        <v>0</v>
      </c>
      <c r="BQ40">
        <f t="shared" si="71"/>
        <v>0</v>
      </c>
      <c r="BR40" s="42">
        <f t="shared" si="65"/>
        <v>0</v>
      </c>
      <c r="BS40" s="42">
        <f t="shared" si="59"/>
        <v>0</v>
      </c>
      <c r="BV40">
        <f t="shared" si="9"/>
        <v>0</v>
      </c>
      <c r="BW40" s="42">
        <f t="shared" si="66"/>
        <v>0</v>
      </c>
      <c r="BX40" s="42"/>
      <c r="BY40">
        <f t="shared" si="21"/>
        <v>0</v>
      </c>
      <c r="CA40" s="107">
        <f>+BH27</f>
        <v>0</v>
      </c>
      <c r="CB40" s="109" t="s">
        <v>177</v>
      </c>
      <c r="CD40" s="133">
        <f>SUM(BA4:BA7)</f>
        <v>0</v>
      </c>
      <c r="CE40" s="134" t="s">
        <v>139</v>
      </c>
      <c r="CG40" s="120">
        <f t="shared" si="76"/>
        <v>0</v>
      </c>
      <c r="CH40" s="373" t="s">
        <v>124</v>
      </c>
      <c r="CJ40" s="120"/>
      <c r="CK40" s="122"/>
      <c r="CM40" s="120"/>
      <c r="CN40" s="138"/>
      <c r="CO40" s="121"/>
      <c r="CP40" s="120"/>
      <c r="CQ40" s="138"/>
      <c r="CS40" s="120">
        <f>+BH28</f>
        <v>0</v>
      </c>
      <c r="CT40" s="122" t="s">
        <v>577</v>
      </c>
      <c r="CV40" s="181" t="s">
        <v>1120</v>
      </c>
      <c r="CW40" s="70">
        <f t="shared" si="80"/>
        <v>0</v>
      </c>
      <c r="CX40" s="308" t="str">
        <f>IF(BD16=1,"LTS8750","LT8750")</f>
        <v>LT8750</v>
      </c>
      <c r="CY40" s="70" t="e">
        <f t="shared" si="72"/>
        <v>#N/A</v>
      </c>
      <c r="CZ40" s="70" t="e">
        <f t="shared" si="73"/>
        <v>#N/A</v>
      </c>
      <c r="DA40" s="70" t="e">
        <f t="shared" si="67"/>
        <v>#N/A</v>
      </c>
      <c r="DB40" s="192" t="e">
        <f t="shared" si="68"/>
        <v>#N/A</v>
      </c>
      <c r="DC40" s="70" t="str">
        <f t="shared" si="69"/>
        <v>R</v>
      </c>
      <c r="DD40" s="70" t="str">
        <f t="shared" si="70"/>
        <v xml:space="preserve"> Cstm  </v>
      </c>
      <c r="DE40" s="70" t="e">
        <f t="shared" si="74"/>
        <v>#N/A</v>
      </c>
      <c r="DF40" s="70" t="b">
        <f t="shared" si="77"/>
        <v>1</v>
      </c>
      <c r="DG40" s="162" t="str">
        <f t="shared" si="75"/>
        <v/>
      </c>
      <c r="DH40" s="70"/>
      <c r="DI40" s="70"/>
      <c r="DK40" s="217" t="s">
        <v>905</v>
      </c>
      <c r="DM40" t="s">
        <v>176</v>
      </c>
      <c r="DN40" s="39">
        <v>50</v>
      </c>
      <c r="DO40" s="218"/>
      <c r="ED40" s="89" t="s">
        <v>1</v>
      </c>
      <c r="EE40" s="3" t="str">
        <f>IF(AZ16 = 1,"Snare w/Brass","Snare Drum")</f>
        <v>Snare Drum</v>
      </c>
      <c r="EF40" s="3"/>
      <c r="EG40" s="3"/>
      <c r="EH40" s="3"/>
      <c r="EJ40" t="s">
        <v>398</v>
      </c>
    </row>
    <row r="41" spans="1:140" ht="15.6" x14ac:dyDescent="0.3">
      <c r="A41" s="384"/>
      <c r="B41" s="95"/>
      <c r="C41" s="74" t="s">
        <v>72</v>
      </c>
      <c r="D41" s="75"/>
      <c r="E41" s="75"/>
      <c r="F41" s="95"/>
      <c r="G41" s="111" t="s">
        <v>1129</v>
      </c>
      <c r="H41" s="51"/>
      <c r="I41" s="51"/>
      <c r="J41" s="51"/>
      <c r="K41" s="51"/>
      <c r="L41" s="51"/>
      <c r="M41" s="51"/>
      <c r="N41" s="51"/>
      <c r="O41" s="53"/>
      <c r="P41" s="114" t="s">
        <v>476</v>
      </c>
      <c r="Q41" s="53"/>
      <c r="R41" s="53"/>
      <c r="S41" s="53"/>
      <c r="T41" s="53"/>
      <c r="U41" s="368"/>
      <c r="V41" s="53"/>
      <c r="W41" s="53"/>
      <c r="X41" s="53"/>
      <c r="Y41" s="53"/>
      <c r="Z41" s="53"/>
      <c r="AA41" s="53"/>
      <c r="AB41" s="53"/>
      <c r="AC41" s="53"/>
      <c r="AD41" s="3"/>
      <c r="AG41" s="70" t="str">
        <f t="shared" si="28"/>
        <v/>
      </c>
      <c r="AK41" t="s">
        <v>213</v>
      </c>
      <c r="AL41" s="9">
        <f t="shared" si="78"/>
        <v>0</v>
      </c>
      <c r="AM41" s="16" t="b">
        <f t="shared" si="30"/>
        <v>0</v>
      </c>
      <c r="AN41" s="16">
        <f t="shared" si="79"/>
        <v>0</v>
      </c>
      <c r="AO41" s="3" t="s">
        <v>362</v>
      </c>
      <c r="AP41" s="24">
        <v>616</v>
      </c>
      <c r="AR41" s="9">
        <f t="shared" si="19"/>
        <v>0</v>
      </c>
      <c r="AS41" s="111" t="s">
        <v>1129</v>
      </c>
      <c r="AT41" s="35">
        <v>0</v>
      </c>
      <c r="AU41" s="35">
        <v>0</v>
      </c>
      <c r="AY41" s="10" t="s">
        <v>204</v>
      </c>
      <c r="AZ41">
        <f>SUM(AZ39:AZ40)</f>
        <v>0</v>
      </c>
      <c r="BA41" s="44">
        <f>SUM(BA39:BA40)</f>
        <v>0</v>
      </c>
      <c r="BB41" s="36" t="s">
        <v>227</v>
      </c>
      <c r="BE41" s="15">
        <f>IF(P39="",0,1)</f>
        <v>0</v>
      </c>
      <c r="BF41" s="36">
        <f>+BE41*0</f>
        <v>0</v>
      </c>
      <c r="BG41" s="3" t="s">
        <v>198</v>
      </c>
      <c r="BN41" s="33">
        <f t="shared" si="43"/>
        <v>0</v>
      </c>
      <c r="BO41" s="33">
        <f t="shared" si="24"/>
        <v>0</v>
      </c>
      <c r="BP41" s="2">
        <f t="shared" si="64"/>
        <v>0</v>
      </c>
      <c r="BQ41">
        <f t="shared" si="71"/>
        <v>0</v>
      </c>
      <c r="BR41" s="42">
        <f t="shared" si="65"/>
        <v>0</v>
      </c>
      <c r="BS41" s="42">
        <f t="shared" si="59"/>
        <v>0</v>
      </c>
      <c r="BV41">
        <f t="shared" si="9"/>
        <v>0</v>
      </c>
      <c r="BW41" s="42">
        <f t="shared" si="66"/>
        <v>0</v>
      </c>
      <c r="BX41" s="42"/>
      <c r="BY41">
        <f t="shared" si="21"/>
        <v>0</v>
      </c>
      <c r="CA41" s="107"/>
      <c r="CB41" s="109"/>
      <c r="CD41" s="133">
        <f>SUM(BC4:BC7)</f>
        <v>0</v>
      </c>
      <c r="CE41" s="134" t="s">
        <v>426</v>
      </c>
      <c r="CG41" s="120">
        <f t="shared" si="76"/>
        <v>0</v>
      </c>
      <c r="CH41" s="373" t="s">
        <v>125</v>
      </c>
      <c r="CJ41" s="120">
        <f>+AL61</f>
        <v>0</v>
      </c>
      <c r="CK41" s="138" t="s">
        <v>375</v>
      </c>
      <c r="CM41" s="123">
        <f>+CM39*CM30</f>
        <v>0</v>
      </c>
      <c r="CN41" s="139" t="s">
        <v>444</v>
      </c>
      <c r="CO41" s="121"/>
      <c r="CP41" s="123">
        <f>+CP39*CP37</f>
        <v>0</v>
      </c>
      <c r="CQ41" s="139" t="s">
        <v>444</v>
      </c>
      <c r="CS41" s="120">
        <f>+BC7</f>
        <v>0</v>
      </c>
      <c r="CT41" s="122" t="s">
        <v>578</v>
      </c>
      <c r="CV41" s="3" t="s">
        <v>362</v>
      </c>
      <c r="CW41">
        <f t="shared" si="80"/>
        <v>0</v>
      </c>
      <c r="CX41" s="42" t="str">
        <f>IF(BD16=1,"LTS880","LT880")</f>
        <v>LT880</v>
      </c>
      <c r="CY41" t="e">
        <f t="shared" si="72"/>
        <v>#N/A</v>
      </c>
      <c r="CZ41" t="e">
        <f t="shared" si="73"/>
        <v>#N/A</v>
      </c>
      <c r="DA41" t="e">
        <f t="shared" si="67"/>
        <v>#N/A</v>
      </c>
      <c r="DB41" s="38" t="e">
        <f t="shared" si="68"/>
        <v>#N/A</v>
      </c>
      <c r="DC41" t="str">
        <f t="shared" si="69"/>
        <v>R</v>
      </c>
      <c r="DD41" t="str">
        <f t="shared" si="70"/>
        <v xml:space="preserve"> Cstm  </v>
      </c>
      <c r="DE41" t="e">
        <f t="shared" si="74"/>
        <v>#N/A</v>
      </c>
      <c r="DF41" t="b">
        <f t="shared" si="77"/>
        <v>1</v>
      </c>
      <c r="DG41" s="162" t="str">
        <f t="shared" si="75"/>
        <v/>
      </c>
      <c r="DK41" s="217" t="s">
        <v>906</v>
      </c>
      <c r="DM41" t="s">
        <v>177</v>
      </c>
      <c r="DN41" s="39">
        <v>50</v>
      </c>
      <c r="DO41" s="218"/>
      <c r="ED41" s="89" t="s">
        <v>2</v>
      </c>
      <c r="EE41" s="387" t="str">
        <f>AG79</f>
        <v/>
      </c>
      <c r="EF41" s="388"/>
      <c r="EG41" s="388"/>
      <c r="EH41" s="388"/>
      <c r="EJ41" t="s">
        <v>398</v>
      </c>
    </row>
    <row r="42" spans="1:140" x14ac:dyDescent="0.3">
      <c r="A42" s="384"/>
      <c r="B42" s="95"/>
      <c r="C42" s="74" t="s">
        <v>73</v>
      </c>
      <c r="D42" s="75"/>
      <c r="E42" s="75"/>
      <c r="F42" s="95"/>
      <c r="G42" s="380" t="s">
        <v>1250</v>
      </c>
      <c r="H42" s="51"/>
      <c r="I42" s="51"/>
      <c r="J42" s="57" t="s">
        <v>25</v>
      </c>
      <c r="K42" s="57" t="str">
        <f>IF((BH24+BH26)*AN73&gt;0, "Toms will have 2 badges","")</f>
        <v/>
      </c>
      <c r="L42" s="51"/>
      <c r="M42" s="51"/>
      <c r="N42" s="59" t="s">
        <v>18</v>
      </c>
      <c r="O42" s="269"/>
      <c r="P42" s="269"/>
      <c r="Q42" s="269"/>
      <c r="R42" s="60" t="s">
        <v>194</v>
      </c>
      <c r="S42" s="269"/>
      <c r="T42" s="269"/>
      <c r="U42" s="368"/>
      <c r="V42" s="53"/>
      <c r="W42" s="53"/>
      <c r="X42" s="53"/>
      <c r="Y42" s="273"/>
      <c r="Z42" s="273"/>
      <c r="AA42" s="273"/>
      <c r="AB42" s="273"/>
      <c r="AC42" s="273"/>
      <c r="AD42" s="3"/>
      <c r="AG42" s="70" t="str">
        <f t="shared" si="28"/>
        <v/>
      </c>
      <c r="AK42" t="s">
        <v>213</v>
      </c>
      <c r="AL42" s="9">
        <f t="shared" si="78"/>
        <v>0</v>
      </c>
      <c r="AM42" s="16" t="b">
        <f t="shared" si="30"/>
        <v>0</v>
      </c>
      <c r="AN42" s="16">
        <f t="shared" si="79"/>
        <v>0</v>
      </c>
      <c r="AO42" s="3" t="s">
        <v>363</v>
      </c>
      <c r="AP42" s="24">
        <v>616</v>
      </c>
      <c r="AR42" s="9">
        <f t="shared" si="19"/>
        <v>0</v>
      </c>
      <c r="AS42" s="369" t="s">
        <v>1250</v>
      </c>
      <c r="AT42" s="35">
        <v>0</v>
      </c>
      <c r="AU42" s="35">
        <v>0</v>
      </c>
      <c r="AW42" s="27">
        <f>SUM(AW3:AW40)</f>
        <v>0</v>
      </c>
      <c r="AX42" s="7" t="s">
        <v>204</v>
      </c>
      <c r="BE42" s="15">
        <f>IF(P40="",0,1)</f>
        <v>0</v>
      </c>
      <c r="BF42" s="36">
        <f>+BE42*DN54</f>
        <v>0</v>
      </c>
      <c r="BG42" s="3" t="s">
        <v>199</v>
      </c>
      <c r="BN42" s="33">
        <f t="shared" si="43"/>
        <v>0</v>
      </c>
      <c r="BO42" s="33">
        <f t="shared" si="24"/>
        <v>0</v>
      </c>
      <c r="BP42" s="2">
        <f t="shared" si="64"/>
        <v>0</v>
      </c>
      <c r="BQ42">
        <f t="shared" si="71"/>
        <v>0</v>
      </c>
      <c r="BR42" s="42">
        <f t="shared" si="65"/>
        <v>0</v>
      </c>
      <c r="BS42" s="42">
        <f t="shared" si="59"/>
        <v>0</v>
      </c>
      <c r="BV42">
        <f t="shared" ref="BV42:BV60" si="82">IF($AZ$16=1,$DN$11,0)</f>
        <v>0</v>
      </c>
      <c r="BW42" s="42">
        <f t="shared" ref="BW42:BW60" si="83">IF($BH$24+$BH$26&gt;0,$AZ$51*2,$AZ$51)</f>
        <v>0</v>
      </c>
      <c r="BX42" s="42"/>
      <c r="BY42">
        <f t="shared" si="21"/>
        <v>0</v>
      </c>
      <c r="CA42" s="107">
        <f>IF(SUM(CA37,CA38,CA39,CA40)&gt;0,1,0)</f>
        <v>0</v>
      </c>
      <c r="CB42" s="109" t="s">
        <v>1003</v>
      </c>
      <c r="CD42" s="133">
        <f>+BD4</f>
        <v>0</v>
      </c>
      <c r="CE42" s="134" t="s">
        <v>146</v>
      </c>
      <c r="CG42" s="120">
        <f t="shared" si="76"/>
        <v>0</v>
      </c>
      <c r="CH42" s="373" t="s">
        <v>102</v>
      </c>
      <c r="CJ42" s="120">
        <f>+AL62</f>
        <v>0</v>
      </c>
      <c r="CK42" s="138" t="s">
        <v>376</v>
      </c>
      <c r="CM42" s="120"/>
      <c r="CN42" s="122"/>
      <c r="CO42" s="121"/>
      <c r="CP42" s="125"/>
      <c r="CQ42" s="143"/>
      <c r="CS42" s="123">
        <f>+CS41+CS40</f>
        <v>0</v>
      </c>
      <c r="CT42" s="139" t="s">
        <v>583</v>
      </c>
      <c r="CV42" s="3" t="s">
        <v>363</v>
      </c>
      <c r="CW42">
        <f t="shared" si="80"/>
        <v>0</v>
      </c>
      <c r="CX42" s="42" t="str">
        <f>IF(BD16=1,"LTS890","LT890")</f>
        <v>LT890</v>
      </c>
      <c r="CY42" t="e">
        <f t="shared" si="72"/>
        <v>#N/A</v>
      </c>
      <c r="CZ42" t="e">
        <f t="shared" si="73"/>
        <v>#N/A</v>
      </c>
      <c r="DA42" t="e">
        <f t="shared" si="67"/>
        <v>#N/A</v>
      </c>
      <c r="DB42" s="38" t="e">
        <f t="shared" si="68"/>
        <v>#N/A</v>
      </c>
      <c r="DC42" t="str">
        <f t="shared" ref="DC42:DC60" si="84">IF($BA$7+$CM$8=2,"WR","R")</f>
        <v>R</v>
      </c>
      <c r="DD42" t="str">
        <f t="shared" si="70"/>
        <v xml:space="preserve"> Cstm  </v>
      </c>
      <c r="DE42" t="e">
        <f t="shared" si="74"/>
        <v>#N/A</v>
      </c>
      <c r="DF42" t="b">
        <f t="shared" si="77"/>
        <v>1</v>
      </c>
      <c r="DG42" s="162" t="str">
        <f t="shared" si="75"/>
        <v/>
      </c>
      <c r="DK42" s="217" t="s">
        <v>907</v>
      </c>
      <c r="DM42" t="s">
        <v>328</v>
      </c>
      <c r="DN42" s="39">
        <v>50</v>
      </c>
      <c r="DO42" s="218"/>
      <c r="ED42" s="89" t="s">
        <v>3</v>
      </c>
      <c r="EE42" s="3" t="e">
        <f>+EE32</f>
        <v>#N/A</v>
      </c>
      <c r="EF42" s="3"/>
      <c r="EG42" s="89" t="s">
        <v>18</v>
      </c>
      <c r="EH42" s="3" t="e">
        <f>VLOOKUP(1,BD46:BF50,3,FALSE)</f>
        <v>#N/A</v>
      </c>
      <c r="EJ42" t="s">
        <v>398</v>
      </c>
    </row>
    <row r="43" spans="1:140" x14ac:dyDescent="0.3">
      <c r="A43" s="384"/>
      <c r="B43" s="95"/>
      <c r="C43" s="74" t="s">
        <v>74</v>
      </c>
      <c r="D43" s="75"/>
      <c r="E43" s="75"/>
      <c r="F43" s="95"/>
      <c r="G43" s="380" t="s">
        <v>1250</v>
      </c>
      <c r="H43" s="51"/>
      <c r="I43" s="51"/>
      <c r="J43" s="96"/>
      <c r="K43" s="51" t="s">
        <v>282</v>
      </c>
      <c r="L43" s="51"/>
      <c r="M43" s="51"/>
      <c r="N43" s="99"/>
      <c r="O43" s="51" t="s">
        <v>189</v>
      </c>
      <c r="P43" s="53"/>
      <c r="Q43" s="51"/>
      <c r="R43" s="96"/>
      <c r="S43" s="54" t="s">
        <v>195</v>
      </c>
      <c r="T43" s="51"/>
      <c r="U43" s="368"/>
      <c r="V43" s="53"/>
      <c r="W43" s="53"/>
      <c r="X43" s="53"/>
      <c r="Y43" s="53"/>
      <c r="Z43" s="53"/>
      <c r="AA43" s="53"/>
      <c r="AB43" s="53"/>
      <c r="AC43" s="53"/>
      <c r="AD43" s="3"/>
      <c r="AG43" s="70" t="str">
        <f t="shared" si="28"/>
        <v/>
      </c>
      <c r="AK43" t="s">
        <v>213</v>
      </c>
      <c r="AL43" s="9">
        <f t="shared" si="78"/>
        <v>0</v>
      </c>
      <c r="AM43" s="16" t="b">
        <f t="shared" si="30"/>
        <v>0</v>
      </c>
      <c r="AN43" s="16">
        <f t="shared" si="79"/>
        <v>0</v>
      </c>
      <c r="AO43" s="3" t="s">
        <v>364</v>
      </c>
      <c r="AP43" s="24">
        <v>624</v>
      </c>
      <c r="AR43" s="9">
        <f t="shared" si="19"/>
        <v>0</v>
      </c>
      <c r="AS43" s="369" t="s">
        <v>1250</v>
      </c>
      <c r="AT43" s="35">
        <v>50</v>
      </c>
      <c r="AU43" s="35">
        <v>0</v>
      </c>
      <c r="BD43" s="25" t="s">
        <v>204</v>
      </c>
      <c r="BE43" s="2">
        <f>SUM(BE41:BE42)</f>
        <v>0</v>
      </c>
      <c r="BF43" s="49">
        <f>SUM(BF41:BF42)</f>
        <v>0</v>
      </c>
      <c r="BG43" s="24" t="s">
        <v>227</v>
      </c>
      <c r="BN43" s="33">
        <f t="shared" si="43"/>
        <v>0</v>
      </c>
      <c r="BO43" s="33">
        <f t="shared" si="24"/>
        <v>0</v>
      </c>
      <c r="BP43" s="2">
        <f t="shared" si="64"/>
        <v>0</v>
      </c>
      <c r="BQ43">
        <f t="shared" si="71"/>
        <v>0</v>
      </c>
      <c r="BR43" s="42">
        <f t="shared" si="65"/>
        <v>0</v>
      </c>
      <c r="BS43" s="42">
        <f t="shared" si="59"/>
        <v>0</v>
      </c>
      <c r="BV43">
        <f t="shared" si="82"/>
        <v>0</v>
      </c>
      <c r="BW43" s="42">
        <f t="shared" si="83"/>
        <v>0</v>
      </c>
      <c r="BX43" s="42"/>
      <c r="BY43">
        <f t="shared" si="21"/>
        <v>0</v>
      </c>
      <c r="CA43" s="107"/>
      <c r="CB43" s="109"/>
      <c r="CD43" s="133">
        <f>+BE4</f>
        <v>0</v>
      </c>
      <c r="CE43" s="134" t="s">
        <v>147</v>
      </c>
      <c r="CG43" s="120">
        <f t="shared" si="76"/>
        <v>0</v>
      </c>
      <c r="CH43" s="373" t="s">
        <v>117</v>
      </c>
      <c r="CJ43" s="120">
        <f>+AL63</f>
        <v>0</v>
      </c>
      <c r="CK43" s="138" t="s">
        <v>377</v>
      </c>
      <c r="CM43" s="120">
        <f>+BD50</f>
        <v>0</v>
      </c>
      <c r="CN43" s="138" t="s">
        <v>472</v>
      </c>
      <c r="CO43" s="121"/>
      <c r="CQ43" s="3"/>
      <c r="CS43" s="120"/>
      <c r="CT43" s="122"/>
      <c r="CV43" s="3" t="s">
        <v>364</v>
      </c>
      <c r="CW43">
        <f t="shared" si="80"/>
        <v>0</v>
      </c>
      <c r="CX43" s="42" t="str">
        <f>IF(BD16=1,"LTS882","LT882")</f>
        <v>LT882</v>
      </c>
      <c r="CY43" t="e">
        <f t="shared" si="72"/>
        <v>#N/A</v>
      </c>
      <c r="CZ43" t="e">
        <f t="shared" si="73"/>
        <v>#N/A</v>
      </c>
      <c r="DA43" t="e">
        <f t="shared" si="67"/>
        <v>#N/A</v>
      </c>
      <c r="DB43" s="38" t="e">
        <f t="shared" si="68"/>
        <v>#N/A</v>
      </c>
      <c r="DC43" t="str">
        <f t="shared" si="84"/>
        <v>R</v>
      </c>
      <c r="DD43" t="str">
        <f t="shared" si="70"/>
        <v xml:space="preserve"> Cstm  </v>
      </c>
      <c r="DE43" t="e">
        <f t="shared" si="74"/>
        <v>#N/A</v>
      </c>
      <c r="DF43" t="b">
        <f t="shared" si="77"/>
        <v>1</v>
      </c>
      <c r="DG43" s="162" t="str">
        <f t="shared" si="75"/>
        <v/>
      </c>
      <c r="DK43" s="217"/>
      <c r="DO43" s="218"/>
      <c r="ED43" s="89" t="s">
        <v>6</v>
      </c>
      <c r="EE43" s="3" t="e">
        <f>HLOOKUP(1,BA4:BF8,5,FALSE)</f>
        <v>#N/A</v>
      </c>
      <c r="EF43" s="3"/>
      <c r="EG43" s="89" t="s">
        <v>19</v>
      </c>
      <c r="EH43" s="3" t="e">
        <f>VLOOKUP(1,BJ47:BL50,3,FALSE)</f>
        <v>#N/A</v>
      </c>
      <c r="EJ43" t="s">
        <v>398</v>
      </c>
    </row>
    <row r="44" spans="1:140" x14ac:dyDescent="0.3">
      <c r="A44" s="384"/>
      <c r="B44" s="95"/>
      <c r="C44" s="74" t="s">
        <v>75</v>
      </c>
      <c r="D44" s="75"/>
      <c r="E44" s="75"/>
      <c r="F44" s="95"/>
      <c r="G44" s="51" t="s">
        <v>107</v>
      </c>
      <c r="H44" s="64"/>
      <c r="I44" s="51"/>
      <c r="J44" s="96"/>
      <c r="K44" s="51" t="s">
        <v>203</v>
      </c>
      <c r="L44" s="51"/>
      <c r="M44" s="51"/>
      <c r="N44" s="99"/>
      <c r="O44" s="51" t="s">
        <v>190</v>
      </c>
      <c r="P44" s="53"/>
      <c r="Q44" s="51" t="s">
        <v>1234</v>
      </c>
      <c r="R44" s="96"/>
      <c r="S44" s="51" t="s">
        <v>196</v>
      </c>
      <c r="T44" s="51"/>
      <c r="U44" s="368"/>
      <c r="V44" s="53"/>
      <c r="W44" s="53"/>
      <c r="X44" s="53"/>
      <c r="Y44" s="53"/>
      <c r="Z44" s="53"/>
      <c r="AA44" s="53"/>
      <c r="AB44" s="53"/>
      <c r="AC44" s="53"/>
      <c r="AD44" s="3"/>
      <c r="AG44" s="70" t="str">
        <f t="shared" si="28"/>
        <v/>
      </c>
      <c r="AK44" t="s">
        <v>213</v>
      </c>
      <c r="AL44" s="9">
        <f t="shared" si="78"/>
        <v>0</v>
      </c>
      <c r="AM44" s="16" t="b">
        <f t="shared" si="30"/>
        <v>0</v>
      </c>
      <c r="AN44" s="16">
        <f t="shared" si="79"/>
        <v>0</v>
      </c>
      <c r="AO44" s="3" t="s">
        <v>365</v>
      </c>
      <c r="AP44" s="24">
        <v>624</v>
      </c>
      <c r="AR44" s="9">
        <f t="shared" si="19"/>
        <v>0</v>
      </c>
      <c r="AS44" s="51" t="s">
        <v>107</v>
      </c>
      <c r="AT44" s="35">
        <v>200</v>
      </c>
      <c r="AU44" s="35">
        <v>200</v>
      </c>
      <c r="BN44" s="33">
        <f t="shared" ref="BN44:BN56" si="85">AR44*AT44</f>
        <v>0</v>
      </c>
      <c r="BO44" s="33">
        <f t="shared" ref="BO44:BO56" si="86">AR44*AU44</f>
        <v>0</v>
      </c>
      <c r="BP44" s="2">
        <f t="shared" si="64"/>
        <v>0</v>
      </c>
      <c r="BQ44">
        <f t="shared" si="71"/>
        <v>0</v>
      </c>
      <c r="BR44" s="42">
        <f t="shared" si="65"/>
        <v>0</v>
      </c>
      <c r="BS44" s="42">
        <f t="shared" si="59"/>
        <v>0</v>
      </c>
      <c r="BV44">
        <f t="shared" si="82"/>
        <v>0</v>
      </c>
      <c r="BW44" s="42">
        <f t="shared" si="83"/>
        <v>0</v>
      </c>
      <c r="BX44" s="42"/>
      <c r="BY44">
        <f t="shared" si="21"/>
        <v>0</v>
      </c>
      <c r="CA44" s="107">
        <f>IF(CA42*CA35&gt;0,1,0)</f>
        <v>0</v>
      </c>
      <c r="CB44" s="109" t="s">
        <v>439</v>
      </c>
      <c r="CD44" s="133">
        <f>SUM(BH11:BH12,BH16)</f>
        <v>0</v>
      </c>
      <c r="CE44" s="134" t="s">
        <v>427</v>
      </c>
      <c r="CG44" s="120">
        <f t="shared" si="76"/>
        <v>0</v>
      </c>
      <c r="CH44" s="373" t="s">
        <v>104</v>
      </c>
      <c r="CJ44" s="120">
        <f>+AL64</f>
        <v>0</v>
      </c>
      <c r="CK44" s="138" t="s">
        <v>378</v>
      </c>
      <c r="CM44" s="120"/>
      <c r="CN44" s="122"/>
      <c r="CO44" s="121"/>
      <c r="CQ44" s="3"/>
      <c r="CS44" s="120">
        <f>+BH38</f>
        <v>0</v>
      </c>
      <c r="CT44" s="122" t="s">
        <v>579</v>
      </c>
      <c r="CV44" s="3" t="s">
        <v>365</v>
      </c>
      <c r="CW44">
        <f t="shared" si="80"/>
        <v>0</v>
      </c>
      <c r="CX44" s="42" t="str">
        <f>IF(BD16=1,"LTS892","LT892")</f>
        <v>LT892</v>
      </c>
      <c r="CY44" t="e">
        <f t="shared" si="72"/>
        <v>#N/A</v>
      </c>
      <c r="CZ44" t="e">
        <f t="shared" si="73"/>
        <v>#N/A</v>
      </c>
      <c r="DA44" t="e">
        <f t="shared" si="67"/>
        <v>#N/A</v>
      </c>
      <c r="DB44" s="38" t="e">
        <f t="shared" si="68"/>
        <v>#N/A</v>
      </c>
      <c r="DC44" t="str">
        <f t="shared" si="84"/>
        <v>R</v>
      </c>
      <c r="DD44" t="str">
        <f t="shared" si="70"/>
        <v xml:space="preserve"> Cstm  </v>
      </c>
      <c r="DE44" t="e">
        <f t="shared" si="74"/>
        <v>#N/A</v>
      </c>
      <c r="DF44" t="b">
        <f t="shared" si="77"/>
        <v>1</v>
      </c>
      <c r="DG44" s="162" t="str">
        <f t="shared" si="75"/>
        <v/>
      </c>
      <c r="DK44" s="217"/>
      <c r="DN44" s="39"/>
      <c r="DO44" s="218"/>
      <c r="ED44" s="89" t="s">
        <v>149</v>
      </c>
      <c r="EE44" s="3" t="str">
        <f>IF(AZ16=1,"Brass Plated","Chrome Plated")</f>
        <v>Chrome Plated</v>
      </c>
      <c r="EF44" s="3"/>
      <c r="EG44" s="89" t="s">
        <v>22</v>
      </c>
      <c r="EH44" s="3" t="e">
        <f>VLOOKUP(1,BE41:BG42,3,FALSE)</f>
        <v>#N/A</v>
      </c>
      <c r="EJ44" t="s">
        <v>398</v>
      </c>
    </row>
    <row r="45" spans="1:140" x14ac:dyDescent="0.3">
      <c r="A45" s="384"/>
      <c r="B45" s="95"/>
      <c r="C45" s="74" t="s">
        <v>76</v>
      </c>
      <c r="D45" s="75"/>
      <c r="E45" s="75"/>
      <c r="F45" s="95"/>
      <c r="G45" s="51" t="s">
        <v>105</v>
      </c>
      <c r="H45" s="64"/>
      <c r="I45" s="51"/>
      <c r="J45" s="96"/>
      <c r="K45" s="54" t="s">
        <v>641</v>
      </c>
      <c r="L45" s="51"/>
      <c r="M45" s="51"/>
      <c r="N45" s="99"/>
      <c r="O45" s="51" t="s">
        <v>191</v>
      </c>
      <c r="P45" s="53"/>
      <c r="Q45" s="51"/>
      <c r="R45" s="348"/>
      <c r="S45" s="51"/>
      <c r="T45" s="51"/>
      <c r="U45" s="368"/>
      <c r="V45" s="53"/>
      <c r="W45" s="53"/>
      <c r="X45" s="53"/>
      <c r="Y45" s="53"/>
      <c r="Z45" s="53"/>
      <c r="AA45" s="53"/>
      <c r="AB45" s="53"/>
      <c r="AC45" s="53"/>
      <c r="AD45"/>
      <c r="AE45" s="3"/>
      <c r="AF45" s="3"/>
      <c r="AG45" s="70" t="str">
        <f t="shared" si="28"/>
        <v/>
      </c>
      <c r="AK45" t="s">
        <v>213</v>
      </c>
      <c r="AL45" s="9">
        <f t="shared" si="78"/>
        <v>0</v>
      </c>
      <c r="AM45" s="16" t="b">
        <f t="shared" si="30"/>
        <v>0</v>
      </c>
      <c r="AN45" s="16">
        <f t="shared" si="79"/>
        <v>0</v>
      </c>
      <c r="AO45" s="3" t="s">
        <v>366</v>
      </c>
      <c r="AP45" s="24">
        <v>624</v>
      </c>
      <c r="AR45" s="9">
        <f t="shared" si="19"/>
        <v>0</v>
      </c>
      <c r="AS45" s="51" t="s">
        <v>105</v>
      </c>
      <c r="AT45" s="35">
        <v>200</v>
      </c>
      <c r="AU45" s="35">
        <v>200</v>
      </c>
      <c r="AZ45" s="11" t="s">
        <v>25</v>
      </c>
      <c r="BA45" s="3"/>
      <c r="BB45" s="3"/>
      <c r="BC45" s="3"/>
      <c r="BD45" s="14" t="s">
        <v>188</v>
      </c>
      <c r="BG45" s="3"/>
      <c r="BH45" s="156" t="s">
        <v>564</v>
      </c>
      <c r="BJ45" s="3"/>
      <c r="BK45" s="3"/>
      <c r="BN45" s="33">
        <f t="shared" si="85"/>
        <v>0</v>
      </c>
      <c r="BO45" s="33">
        <f t="shared" si="86"/>
        <v>0</v>
      </c>
      <c r="BP45" s="2">
        <f t="shared" si="64"/>
        <v>0</v>
      </c>
      <c r="BQ45">
        <f t="shared" si="71"/>
        <v>0</v>
      </c>
      <c r="BR45" s="42">
        <f t="shared" si="65"/>
        <v>0</v>
      </c>
      <c r="BS45" s="42">
        <f t="shared" si="59"/>
        <v>0</v>
      </c>
      <c r="BV45">
        <f t="shared" si="82"/>
        <v>0</v>
      </c>
      <c r="BW45" s="42">
        <f t="shared" si="83"/>
        <v>0</v>
      </c>
      <c r="BX45" s="42"/>
      <c r="BY45">
        <f t="shared" si="21"/>
        <v>0</v>
      </c>
      <c r="CD45" s="131">
        <f>+BD11+BD12</f>
        <v>0</v>
      </c>
      <c r="CE45" s="134" t="s">
        <v>428</v>
      </c>
      <c r="CG45" s="120">
        <f t="shared" si="76"/>
        <v>0</v>
      </c>
      <c r="CH45" s="373" t="s">
        <v>103</v>
      </c>
      <c r="CJ45" s="120">
        <f>+AL65</f>
        <v>0</v>
      </c>
      <c r="CK45" s="138" t="s">
        <v>379</v>
      </c>
      <c r="CM45" s="120">
        <f>+AL61</f>
        <v>0</v>
      </c>
      <c r="CN45" s="138" t="s">
        <v>375</v>
      </c>
      <c r="CO45" s="121"/>
      <c r="CP45" s="118"/>
      <c r="CQ45" s="141"/>
      <c r="CS45" s="120">
        <f>+BC6</f>
        <v>0</v>
      </c>
      <c r="CT45" s="122" t="s">
        <v>580</v>
      </c>
      <c r="CV45" s="3" t="s">
        <v>366</v>
      </c>
      <c r="CW45">
        <f t="shared" si="80"/>
        <v>0</v>
      </c>
      <c r="CX45" s="42" t="str">
        <f>IF(BD16=1,"LTS802","LT802")</f>
        <v>LT802</v>
      </c>
      <c r="CY45" t="e">
        <f t="shared" si="72"/>
        <v>#N/A</v>
      </c>
      <c r="CZ45" t="e">
        <f t="shared" si="73"/>
        <v>#N/A</v>
      </c>
      <c r="DA45" t="e">
        <f t="shared" si="67"/>
        <v>#N/A</v>
      </c>
      <c r="DB45" s="38" t="e">
        <f t="shared" si="68"/>
        <v>#N/A</v>
      </c>
      <c r="DC45" t="str">
        <f t="shared" si="84"/>
        <v>R</v>
      </c>
      <c r="DD45" t="str">
        <f t="shared" si="70"/>
        <v xml:space="preserve"> Cstm  </v>
      </c>
      <c r="DE45" t="e">
        <f t="shared" si="74"/>
        <v>#N/A</v>
      </c>
      <c r="DF45" t="b">
        <f t="shared" si="77"/>
        <v>1</v>
      </c>
      <c r="DG45" s="162" t="str">
        <f t="shared" si="75"/>
        <v/>
      </c>
      <c r="DK45" s="217" t="s">
        <v>1145</v>
      </c>
      <c r="DM45" t="s">
        <v>656</v>
      </c>
      <c r="DN45" s="39">
        <v>25</v>
      </c>
      <c r="DO45" s="218"/>
      <c r="ED45" s="89" t="s">
        <v>17</v>
      </c>
      <c r="EE45" s="3" t="e">
        <f>VLOOKUP(1,BI55:BK56,3,FALSE)</f>
        <v>#N/A</v>
      </c>
      <c r="EF45" s="3"/>
      <c r="EG45" s="89" t="s">
        <v>23</v>
      </c>
      <c r="EH45" s="3" t="e">
        <f>VLOOKUP(1,AZ62:BA63,2,FALSE)</f>
        <v>#N/A</v>
      </c>
      <c r="EJ45" t="s">
        <v>398</v>
      </c>
    </row>
    <row r="46" spans="1:140" ht="15" thickBot="1" x14ac:dyDescent="0.35">
      <c r="A46" s="384"/>
      <c r="B46" s="95"/>
      <c r="C46" s="74" t="s">
        <v>77</v>
      </c>
      <c r="D46" s="75"/>
      <c r="E46" s="75"/>
      <c r="F46" s="95"/>
      <c r="G46" s="51" t="s">
        <v>115</v>
      </c>
      <c r="H46" s="51"/>
      <c r="I46" s="51"/>
      <c r="J46" s="331"/>
      <c r="K46" s="54"/>
      <c r="L46" s="51"/>
      <c r="M46" s="51"/>
      <c r="N46" s="349"/>
      <c r="O46" s="51"/>
      <c r="P46" s="53"/>
      <c r="Q46" s="51"/>
      <c r="R46" s="331"/>
      <c r="S46" s="51"/>
      <c r="T46" s="51"/>
      <c r="U46" s="368"/>
      <c r="V46" s="53"/>
      <c r="W46" s="53"/>
      <c r="X46" s="53"/>
      <c r="Y46" s="53"/>
      <c r="Z46" s="53"/>
      <c r="AA46" s="53"/>
      <c r="AB46" s="53"/>
      <c r="AC46" s="53"/>
      <c r="AD46" s="273"/>
      <c r="AE46" s="3"/>
      <c r="AF46" s="3"/>
      <c r="AG46" s="70" t="str">
        <f t="shared" si="28"/>
        <v/>
      </c>
      <c r="AK46" t="s">
        <v>213</v>
      </c>
      <c r="AL46" s="9">
        <f t="shared" si="78"/>
        <v>0</v>
      </c>
      <c r="AM46" s="16" t="b">
        <f t="shared" si="30"/>
        <v>0</v>
      </c>
      <c r="AN46" s="16">
        <f t="shared" si="79"/>
        <v>0</v>
      </c>
      <c r="AO46" s="3" t="s">
        <v>367</v>
      </c>
      <c r="AP46" s="24">
        <v>624</v>
      </c>
      <c r="AR46" s="9">
        <f t="shared" si="19"/>
        <v>0</v>
      </c>
      <c r="AS46" s="51" t="s">
        <v>115</v>
      </c>
      <c r="AT46" s="35">
        <v>200</v>
      </c>
      <c r="AU46" s="35">
        <v>200</v>
      </c>
      <c r="AY46" s="9">
        <f>IF(J43="",0,1)</f>
        <v>0</v>
      </c>
      <c r="AZ46" s="39">
        <f>DN57*AY46</f>
        <v>0</v>
      </c>
      <c r="BA46" s="319" t="s">
        <v>282</v>
      </c>
      <c r="BB46" s="3"/>
      <c r="BC46" s="3"/>
      <c r="BD46" s="15">
        <f>IF(N43="",0,1)</f>
        <v>0</v>
      </c>
      <c r="BE46" s="36">
        <f>+BD46*0</f>
        <v>0</v>
      </c>
      <c r="BF46" s="3" t="s">
        <v>189</v>
      </c>
      <c r="BH46" s="158" t="s">
        <v>562</v>
      </c>
      <c r="BI46" s="3"/>
      <c r="BJ46" s="14" t="s">
        <v>194</v>
      </c>
      <c r="BK46" s="3"/>
      <c r="BN46" s="33">
        <f t="shared" si="85"/>
        <v>0</v>
      </c>
      <c r="BO46" s="33">
        <f t="shared" si="86"/>
        <v>0</v>
      </c>
      <c r="BP46" s="2">
        <f t="shared" si="64"/>
        <v>0</v>
      </c>
      <c r="BQ46">
        <f t="shared" si="71"/>
        <v>0</v>
      </c>
      <c r="BR46" s="42">
        <f t="shared" si="65"/>
        <v>0</v>
      </c>
      <c r="BS46" s="42">
        <f t="shared" si="59"/>
        <v>0</v>
      </c>
      <c r="BV46">
        <f t="shared" si="82"/>
        <v>0</v>
      </c>
      <c r="BW46" s="42">
        <f t="shared" si="83"/>
        <v>0</v>
      </c>
      <c r="BX46" s="42"/>
      <c r="BY46">
        <f t="shared" si="21"/>
        <v>0</v>
      </c>
      <c r="CA46" s="108">
        <f>IF(OR(CA17=1,CA29=1,CA44=1) = TRUE,1,0)</f>
        <v>0</v>
      </c>
      <c r="CB46" s="110" t="s">
        <v>417</v>
      </c>
      <c r="CD46" s="131">
        <f>+AZ11</f>
        <v>0</v>
      </c>
      <c r="CE46" s="134" t="s">
        <v>179</v>
      </c>
      <c r="CG46" s="120">
        <f t="shared" si="76"/>
        <v>0</v>
      </c>
      <c r="CH46" s="374" t="s">
        <v>108</v>
      </c>
      <c r="CJ46" s="120">
        <f>+AL68</f>
        <v>0</v>
      </c>
      <c r="CK46" s="138" t="s">
        <v>382</v>
      </c>
      <c r="CM46" s="120">
        <f>+AL62</f>
        <v>0</v>
      </c>
      <c r="CN46" s="138" t="s">
        <v>376</v>
      </c>
      <c r="CO46" s="121"/>
      <c r="CP46" s="120"/>
      <c r="CQ46" s="134"/>
      <c r="CS46" s="123">
        <f>+CS45+CS44</f>
        <v>0</v>
      </c>
      <c r="CT46" s="139" t="s">
        <v>583</v>
      </c>
      <c r="CV46" s="3" t="s">
        <v>367</v>
      </c>
      <c r="CW46">
        <f t="shared" si="80"/>
        <v>0</v>
      </c>
      <c r="CX46" s="42" t="str">
        <f>IF(BD16=1,"LTS812","LT812")</f>
        <v>LT812</v>
      </c>
      <c r="CY46" t="e">
        <f t="shared" si="72"/>
        <v>#N/A</v>
      </c>
      <c r="CZ46" t="e">
        <f t="shared" si="73"/>
        <v>#N/A</v>
      </c>
      <c r="DA46" t="e">
        <f t="shared" si="67"/>
        <v>#N/A</v>
      </c>
      <c r="DB46" s="38" t="e">
        <f t="shared" si="68"/>
        <v>#N/A</v>
      </c>
      <c r="DC46" t="str">
        <f t="shared" si="84"/>
        <v>R</v>
      </c>
      <c r="DD46" t="str">
        <f t="shared" si="70"/>
        <v xml:space="preserve"> Cstm  </v>
      </c>
      <c r="DE46" t="e">
        <f t="shared" si="74"/>
        <v>#N/A</v>
      </c>
      <c r="DF46" t="b">
        <f t="shared" si="77"/>
        <v>1</v>
      </c>
      <c r="DG46" s="162" t="str">
        <f t="shared" si="75"/>
        <v/>
      </c>
      <c r="DK46" s="217"/>
      <c r="DN46" s="39"/>
      <c r="DO46" s="218"/>
      <c r="ED46" s="3"/>
      <c r="EE46" s="3"/>
      <c r="EF46" s="3"/>
      <c r="EG46" s="89" t="s">
        <v>25</v>
      </c>
      <c r="EH46" s="3" t="e">
        <f>+EH15</f>
        <v>#N/A</v>
      </c>
      <c r="EJ46" t="s">
        <v>398</v>
      </c>
    </row>
    <row r="47" spans="1:140" x14ac:dyDescent="0.3">
      <c r="A47" s="384"/>
      <c r="B47" s="95"/>
      <c r="C47" s="74" t="s">
        <v>78</v>
      </c>
      <c r="D47" s="75"/>
      <c r="E47" s="79"/>
      <c r="F47" s="95"/>
      <c r="G47" s="51" t="s">
        <v>1009</v>
      </c>
      <c r="H47" s="51"/>
      <c r="I47" s="51"/>
      <c r="J47" s="147"/>
      <c r="K47" s="148"/>
      <c r="L47" s="51"/>
      <c r="M47" s="51"/>
      <c r="N47" s="334"/>
      <c r="O47" s="51"/>
      <c r="P47" s="51"/>
      <c r="Q47" s="112" t="s">
        <v>493</v>
      </c>
      <c r="R47" s="149"/>
      <c r="S47" s="149"/>
      <c r="T47" s="51"/>
      <c r="U47" s="55"/>
      <c r="V47" s="51"/>
      <c r="W47" s="51"/>
      <c r="X47" s="53"/>
      <c r="Y47" s="53"/>
      <c r="Z47" s="53"/>
      <c r="AA47" s="53"/>
      <c r="AB47" s="53"/>
      <c r="AC47" s="53"/>
      <c r="AD47"/>
      <c r="AE47" s="3"/>
      <c r="AF47" s="3"/>
      <c r="AG47" s="70" t="str">
        <f t="shared" si="28"/>
        <v/>
      </c>
      <c r="AK47" t="s">
        <v>213</v>
      </c>
      <c r="AL47" s="9">
        <f t="shared" si="78"/>
        <v>0</v>
      </c>
      <c r="AM47" s="16" t="b">
        <f t="shared" si="30"/>
        <v>0</v>
      </c>
      <c r="AN47" s="16">
        <f t="shared" si="79"/>
        <v>0</v>
      </c>
      <c r="AO47" s="3" t="s">
        <v>368</v>
      </c>
      <c r="AP47" s="24">
        <v>692</v>
      </c>
      <c r="AR47" s="9">
        <f t="shared" si="19"/>
        <v>0</v>
      </c>
      <c r="AS47" s="3" t="s">
        <v>1009</v>
      </c>
      <c r="AT47" s="35">
        <v>200</v>
      </c>
      <c r="AU47" s="35">
        <v>200</v>
      </c>
      <c r="AY47" s="9">
        <f>IF(J44="",0,1)</f>
        <v>0</v>
      </c>
      <c r="AZ47" s="39">
        <f>DN58*AY47</f>
        <v>0</v>
      </c>
      <c r="BA47" s="319" t="s">
        <v>203</v>
      </c>
      <c r="BB47" s="3"/>
      <c r="BC47" s="3"/>
      <c r="BD47" s="15">
        <f>IF(N44="",0,1)</f>
        <v>0</v>
      </c>
      <c r="BE47" s="36">
        <f>+BD47*DN48</f>
        <v>0</v>
      </c>
      <c r="BF47" s="3" t="s">
        <v>190</v>
      </c>
      <c r="BH47" s="158" t="s">
        <v>563</v>
      </c>
      <c r="BI47" s="3"/>
      <c r="BJ47" s="15">
        <f>IF(R43="",0,1)</f>
        <v>0</v>
      </c>
      <c r="BK47" s="39">
        <f>+BJ47*0</f>
        <v>0</v>
      </c>
      <c r="BL47" s="3" t="s">
        <v>195</v>
      </c>
      <c r="BN47" s="33">
        <f t="shared" si="85"/>
        <v>0</v>
      </c>
      <c r="BO47" s="33">
        <f t="shared" si="86"/>
        <v>0</v>
      </c>
      <c r="BP47" s="2">
        <f t="shared" si="64"/>
        <v>0</v>
      </c>
      <c r="BQ47">
        <f t="shared" si="71"/>
        <v>0</v>
      </c>
      <c r="BR47" s="42">
        <f t="shared" si="65"/>
        <v>0</v>
      </c>
      <c r="BS47" s="42">
        <f t="shared" si="59"/>
        <v>0</v>
      </c>
      <c r="BV47">
        <f t="shared" si="82"/>
        <v>0</v>
      </c>
      <c r="BW47" s="42">
        <f t="shared" si="83"/>
        <v>0</v>
      </c>
      <c r="BX47" s="42"/>
      <c r="BY47">
        <f t="shared" si="21"/>
        <v>0</v>
      </c>
      <c r="CD47" s="131"/>
      <c r="CE47" s="134" t="s">
        <v>1228</v>
      </c>
      <c r="CG47" s="120">
        <f t="shared" si="76"/>
        <v>0</v>
      </c>
      <c r="CH47" s="374" t="s">
        <v>1245</v>
      </c>
      <c r="CJ47" s="120">
        <f>SUM(CJ41:CJ46)</f>
        <v>0</v>
      </c>
      <c r="CK47" s="138" t="s">
        <v>449</v>
      </c>
      <c r="CM47" s="120">
        <f>+AL63</f>
        <v>0</v>
      </c>
      <c r="CN47" s="138" t="s">
        <v>377</v>
      </c>
      <c r="CO47" s="121"/>
      <c r="CP47" s="120"/>
      <c r="CQ47" s="134"/>
      <c r="CS47" s="120"/>
      <c r="CT47" s="122"/>
      <c r="CV47" s="3" t="s">
        <v>368</v>
      </c>
      <c r="CW47">
        <f t="shared" si="80"/>
        <v>0</v>
      </c>
      <c r="CX47" s="42" t="str">
        <f>IF(BD16=1,"LTS893","LT893")</f>
        <v>LT893</v>
      </c>
      <c r="CY47" t="e">
        <f t="shared" si="72"/>
        <v>#N/A</v>
      </c>
      <c r="CZ47" t="e">
        <f t="shared" si="73"/>
        <v>#N/A</v>
      </c>
      <c r="DA47" t="e">
        <f t="shared" si="67"/>
        <v>#N/A</v>
      </c>
      <c r="DB47" s="38" t="e">
        <f t="shared" si="68"/>
        <v>#N/A</v>
      </c>
      <c r="DC47" t="str">
        <f t="shared" si="84"/>
        <v>R</v>
      </c>
      <c r="DD47" t="str">
        <f t="shared" si="70"/>
        <v xml:space="preserve"> Cstm  </v>
      </c>
      <c r="DE47" t="e">
        <f t="shared" si="74"/>
        <v>#N/A</v>
      </c>
      <c r="DF47" t="b">
        <f t="shared" si="77"/>
        <v>1</v>
      </c>
      <c r="DG47" s="162" t="str">
        <f t="shared" si="75"/>
        <v/>
      </c>
      <c r="DK47" s="217"/>
      <c r="DM47" s="192" t="s">
        <v>188</v>
      </c>
      <c r="DN47" s="39"/>
      <c r="DO47" s="218"/>
      <c r="EJ47" t="s">
        <v>398</v>
      </c>
    </row>
    <row r="48" spans="1:140" x14ac:dyDescent="0.3">
      <c r="A48" s="384"/>
      <c r="B48" s="95"/>
      <c r="C48" s="74" t="s">
        <v>79</v>
      </c>
      <c r="D48" s="75"/>
      <c r="E48" s="79"/>
      <c r="F48" s="95"/>
      <c r="G48" s="380" t="s">
        <v>1250</v>
      </c>
      <c r="H48" s="51"/>
      <c r="I48" s="51"/>
      <c r="J48" s="112" t="s">
        <v>1184</v>
      </c>
      <c r="K48" s="51"/>
      <c r="L48" s="51"/>
      <c r="M48" s="51"/>
      <c r="N48" s="343" t="s">
        <v>471</v>
      </c>
      <c r="P48" s="267"/>
      <c r="Q48" s="267"/>
      <c r="R48" s="60" t="s">
        <v>233</v>
      </c>
      <c r="S48" s="53"/>
      <c r="T48" s="53"/>
      <c r="U48" s="55"/>
      <c r="V48" s="51"/>
      <c r="W48" s="51"/>
      <c r="X48" s="53"/>
      <c r="Y48" s="53"/>
      <c r="Z48" s="53"/>
      <c r="AA48" s="53"/>
      <c r="AB48" s="53"/>
      <c r="AC48" s="53"/>
      <c r="AD48"/>
      <c r="AE48" s="151"/>
      <c r="AF48" s="3"/>
      <c r="AG48" s="70" t="str">
        <f t="shared" si="28"/>
        <v/>
      </c>
      <c r="AK48" t="s">
        <v>213</v>
      </c>
      <c r="AL48" s="9">
        <f t="shared" si="78"/>
        <v>0</v>
      </c>
      <c r="AM48" s="16" t="b">
        <f t="shared" si="30"/>
        <v>0</v>
      </c>
      <c r="AN48" s="16">
        <f t="shared" si="79"/>
        <v>0</v>
      </c>
      <c r="AO48" s="3" t="s">
        <v>369</v>
      </c>
      <c r="AP48" s="24">
        <v>692</v>
      </c>
      <c r="AR48" s="9">
        <f t="shared" si="19"/>
        <v>0</v>
      </c>
      <c r="AS48" s="369" t="s">
        <v>1250</v>
      </c>
      <c r="AT48" s="35">
        <v>0</v>
      </c>
      <c r="AU48" s="35">
        <v>0</v>
      </c>
      <c r="AY48" s="9">
        <f>IF(J45="",0,1)</f>
        <v>0</v>
      </c>
      <c r="AZ48" s="39">
        <v>0</v>
      </c>
      <c r="BA48" s="319" t="s">
        <v>641</v>
      </c>
      <c r="BB48" s="3"/>
      <c r="BC48" s="3"/>
      <c r="BD48" s="15">
        <f>IF(N45="",0,1)</f>
        <v>0</v>
      </c>
      <c r="BE48" s="36">
        <f>+BD48*0</f>
        <v>0</v>
      </c>
      <c r="BF48" s="3" t="s">
        <v>191</v>
      </c>
      <c r="BH48" s="158"/>
      <c r="BI48" s="3"/>
      <c r="BJ48" s="15">
        <f>IF(R44="",0,1)</f>
        <v>0</v>
      </c>
      <c r="BK48" s="39">
        <f>BJ48*DN52</f>
        <v>0</v>
      </c>
      <c r="BL48" s="3" t="s">
        <v>196</v>
      </c>
      <c r="BN48" s="33">
        <f t="shared" si="85"/>
        <v>0</v>
      </c>
      <c r="BO48" s="33">
        <f t="shared" si="86"/>
        <v>0</v>
      </c>
      <c r="BP48" s="2">
        <f t="shared" si="64"/>
        <v>0</v>
      </c>
      <c r="BQ48">
        <f t="shared" si="71"/>
        <v>0</v>
      </c>
      <c r="BR48" s="42">
        <f t="shared" si="65"/>
        <v>0</v>
      </c>
      <c r="BS48" s="42">
        <f t="shared" si="59"/>
        <v>0</v>
      </c>
      <c r="BV48">
        <f t="shared" si="82"/>
        <v>0</v>
      </c>
      <c r="BW48" s="42">
        <f t="shared" si="83"/>
        <v>0</v>
      </c>
      <c r="BX48" s="42"/>
      <c r="BY48">
        <f t="shared" si="21"/>
        <v>0</v>
      </c>
      <c r="CD48" s="131">
        <f>SUM(BH26:BH29)</f>
        <v>0</v>
      </c>
      <c r="CE48" s="134" t="s">
        <v>16</v>
      </c>
      <c r="CG48" s="120">
        <f t="shared" si="76"/>
        <v>0</v>
      </c>
      <c r="CH48" s="374" t="s">
        <v>1246</v>
      </c>
      <c r="CJ48" s="123">
        <f>+CJ47*CJ39</f>
        <v>0</v>
      </c>
      <c r="CK48" s="139" t="s">
        <v>444</v>
      </c>
      <c r="CM48" s="120">
        <f>+AL64</f>
        <v>0</v>
      </c>
      <c r="CN48" s="138" t="s">
        <v>378</v>
      </c>
      <c r="CO48" s="121"/>
      <c r="CP48" s="120"/>
      <c r="CQ48" s="134"/>
      <c r="CS48" s="120"/>
      <c r="CT48" s="122"/>
      <c r="CV48" s="3" t="s">
        <v>369</v>
      </c>
      <c r="CW48">
        <f t="shared" si="80"/>
        <v>0</v>
      </c>
      <c r="CX48" s="42" t="str">
        <f>IF(BD16=1,"LTS803","LT803")</f>
        <v>LT803</v>
      </c>
      <c r="CY48" t="e">
        <f t="shared" si="72"/>
        <v>#N/A</v>
      </c>
      <c r="CZ48" t="e">
        <f t="shared" si="73"/>
        <v>#N/A</v>
      </c>
      <c r="DA48" t="e">
        <f t="shared" si="67"/>
        <v>#N/A</v>
      </c>
      <c r="DB48" s="38" t="e">
        <f t="shared" si="68"/>
        <v>#N/A</v>
      </c>
      <c r="DC48" t="str">
        <f t="shared" si="84"/>
        <v>R</v>
      </c>
      <c r="DD48" t="str">
        <f t="shared" si="70"/>
        <v xml:space="preserve"> Cstm  </v>
      </c>
      <c r="DE48" t="e">
        <f t="shared" si="74"/>
        <v>#N/A</v>
      </c>
      <c r="DF48" t="b">
        <f t="shared" si="77"/>
        <v>1</v>
      </c>
      <c r="DG48" s="162" t="str">
        <f t="shared" si="75"/>
        <v/>
      </c>
      <c r="DK48" s="217" t="s">
        <v>908</v>
      </c>
      <c r="DM48" t="s">
        <v>190</v>
      </c>
      <c r="DN48" s="39">
        <v>45</v>
      </c>
      <c r="DO48" s="218"/>
      <c r="EJ48" t="s">
        <v>398</v>
      </c>
    </row>
    <row r="49" spans="1:140" x14ac:dyDescent="0.3">
      <c r="A49" s="384"/>
      <c r="B49" s="95"/>
      <c r="C49" s="74" t="s">
        <v>80</v>
      </c>
      <c r="D49" s="75"/>
      <c r="E49" s="79"/>
      <c r="F49" s="95"/>
      <c r="G49" s="380" t="s">
        <v>1250</v>
      </c>
      <c r="H49" s="64"/>
      <c r="I49" s="51"/>
      <c r="J49" s="170"/>
      <c r="K49" s="356" t="s">
        <v>23</v>
      </c>
      <c r="L49" s="170"/>
      <c r="M49" s="170"/>
      <c r="N49" s="343" t="s">
        <v>1184</v>
      </c>
      <c r="O49" s="360"/>
      <c r="P49" s="267"/>
      <c r="Q49" s="267"/>
      <c r="R49" s="99"/>
      <c r="S49" s="103" t="s">
        <v>234</v>
      </c>
      <c r="T49" s="53"/>
      <c r="U49" s="368"/>
      <c r="V49" s="53"/>
      <c r="W49" s="53"/>
      <c r="X49" s="53"/>
      <c r="Y49" s="53"/>
      <c r="Z49" s="53"/>
      <c r="AA49" s="53"/>
      <c r="AB49" s="53"/>
      <c r="AC49" s="53"/>
      <c r="AD49"/>
      <c r="AE49" s="38"/>
      <c r="AG49" s="70" t="str">
        <f t="shared" si="28"/>
        <v/>
      </c>
      <c r="AK49" t="s">
        <v>213</v>
      </c>
      <c r="AL49" s="9">
        <f t="shared" si="78"/>
        <v>0</v>
      </c>
      <c r="AM49" s="16" t="b">
        <f t="shared" si="30"/>
        <v>0</v>
      </c>
      <c r="AN49" s="16">
        <f t="shared" si="79"/>
        <v>0</v>
      </c>
      <c r="AO49" s="3" t="s">
        <v>370</v>
      </c>
      <c r="AP49" s="24">
        <v>692</v>
      </c>
      <c r="AR49" s="9">
        <f t="shared" si="19"/>
        <v>0</v>
      </c>
      <c r="AS49" s="369" t="s">
        <v>1250</v>
      </c>
      <c r="AT49" s="35">
        <v>0</v>
      </c>
      <c r="AU49" s="35">
        <v>0</v>
      </c>
      <c r="AW49" s="37"/>
      <c r="AX49" s="17"/>
      <c r="AY49" s="9">
        <f>IF(J46="",0,1)</f>
        <v>0</v>
      </c>
      <c r="AZ49" s="35"/>
      <c r="BA49" s="3"/>
      <c r="BB49" s="3"/>
      <c r="BC49" s="3"/>
      <c r="BD49" s="15">
        <f>IF(N46="",0,1)</f>
        <v>0</v>
      </c>
      <c r="BE49" s="36">
        <f>+BD49*DN49</f>
        <v>0</v>
      </c>
      <c r="BF49" s="3" t="s">
        <v>192</v>
      </c>
      <c r="BH49" s="158"/>
      <c r="BI49" s="3"/>
      <c r="BJ49" s="15">
        <f>IF(R45="",0,1)</f>
        <v>0</v>
      </c>
      <c r="BK49" s="39">
        <f>+BJ49*0</f>
        <v>0</v>
      </c>
      <c r="BL49" s="3" t="s">
        <v>192</v>
      </c>
      <c r="BN49" s="33">
        <f t="shared" si="85"/>
        <v>0</v>
      </c>
      <c r="BO49" s="33">
        <f t="shared" si="86"/>
        <v>0</v>
      </c>
      <c r="BP49" s="2">
        <f t="shared" si="64"/>
        <v>0</v>
      </c>
      <c r="BQ49">
        <f t="shared" si="71"/>
        <v>0</v>
      </c>
      <c r="BR49" s="42">
        <f t="shared" si="65"/>
        <v>0</v>
      </c>
      <c r="BS49" s="42">
        <f t="shared" si="59"/>
        <v>0</v>
      </c>
      <c r="BV49">
        <f t="shared" si="82"/>
        <v>0</v>
      </c>
      <c r="BW49" s="42">
        <f t="shared" si="83"/>
        <v>0</v>
      </c>
      <c r="BX49" s="42"/>
      <c r="BY49">
        <f t="shared" si="21"/>
        <v>0</v>
      </c>
      <c r="CA49" s="90" t="s">
        <v>418</v>
      </c>
      <c r="CB49" s="90"/>
      <c r="CD49" s="131">
        <f>+AZ40</f>
        <v>0</v>
      </c>
      <c r="CE49" s="134" t="s">
        <v>432</v>
      </c>
      <c r="CG49" s="120">
        <f t="shared" si="76"/>
        <v>0</v>
      </c>
      <c r="CH49" s="374" t="s">
        <v>1015</v>
      </c>
      <c r="CJ49" s="120"/>
      <c r="CK49" s="138"/>
      <c r="CM49" s="120">
        <f>+AL65</f>
        <v>0</v>
      </c>
      <c r="CN49" s="138" t="s">
        <v>379</v>
      </c>
      <c r="CO49" s="121"/>
      <c r="CP49" s="120"/>
      <c r="CQ49" s="134"/>
      <c r="CS49" s="120">
        <f>+AZ27</f>
        <v>0</v>
      </c>
      <c r="CT49" s="132" t="s">
        <v>1097</v>
      </c>
      <c r="CV49" s="3" t="s">
        <v>370</v>
      </c>
      <c r="CW49">
        <f t="shared" si="80"/>
        <v>0</v>
      </c>
      <c r="CX49" s="42" t="str">
        <f>IF(BD16=1,"LTS813","LT813")</f>
        <v>LT813</v>
      </c>
      <c r="CY49" t="e">
        <f t="shared" si="72"/>
        <v>#N/A</v>
      </c>
      <c r="CZ49" t="e">
        <f t="shared" si="73"/>
        <v>#N/A</v>
      </c>
      <c r="DA49" t="e">
        <f t="shared" si="67"/>
        <v>#N/A</v>
      </c>
      <c r="DB49" s="38" t="e">
        <f t="shared" si="68"/>
        <v>#N/A</v>
      </c>
      <c r="DC49" t="str">
        <f t="shared" si="84"/>
        <v>R</v>
      </c>
      <c r="DD49" t="str">
        <f t="shared" si="70"/>
        <v xml:space="preserve"> Cstm  </v>
      </c>
      <c r="DE49" t="e">
        <f t="shared" si="74"/>
        <v>#N/A</v>
      </c>
      <c r="DF49" t="b">
        <f t="shared" si="77"/>
        <v>1</v>
      </c>
      <c r="DG49" s="162" t="str">
        <f t="shared" si="75"/>
        <v/>
      </c>
      <c r="DK49" s="217" t="s">
        <v>909</v>
      </c>
      <c r="DM49" t="s">
        <v>192</v>
      </c>
      <c r="DN49" s="39">
        <v>270</v>
      </c>
      <c r="DO49" s="218"/>
      <c r="ED49" s="8" t="s">
        <v>623</v>
      </c>
      <c r="EE49" s="32">
        <f>+K1</f>
        <v>0</v>
      </c>
      <c r="EJ49" t="s">
        <v>398</v>
      </c>
    </row>
    <row r="50" spans="1:140" x14ac:dyDescent="0.3">
      <c r="A50" s="384"/>
      <c r="B50" s="95"/>
      <c r="C50" s="74" t="s">
        <v>81</v>
      </c>
      <c r="D50" s="75"/>
      <c r="E50" s="79"/>
      <c r="F50" s="95"/>
      <c r="G50" s="380" t="s">
        <v>1250</v>
      </c>
      <c r="H50" s="64"/>
      <c r="I50" s="51"/>
      <c r="J50" s="357" t="s">
        <v>140</v>
      </c>
      <c r="K50" s="358" t="s">
        <v>26</v>
      </c>
      <c r="L50" s="332" t="s">
        <v>1237</v>
      </c>
      <c r="M50" s="332"/>
      <c r="N50" s="170"/>
      <c r="O50" s="361" t="s">
        <v>24</v>
      </c>
      <c r="P50" s="267"/>
      <c r="Q50" s="267"/>
      <c r="R50" s="99"/>
      <c r="S50" s="63" t="s">
        <v>187</v>
      </c>
      <c r="T50" s="53"/>
      <c r="U50" s="368"/>
      <c r="V50" s="53"/>
      <c r="W50" s="53"/>
      <c r="X50" s="53"/>
      <c r="Y50" s="53"/>
      <c r="Z50" s="53"/>
      <c r="AA50" s="53"/>
      <c r="AB50" s="53"/>
      <c r="AC50" s="53"/>
      <c r="AD50"/>
      <c r="AE50" s="352"/>
      <c r="AG50" s="70" t="str">
        <f t="shared" si="28"/>
        <v/>
      </c>
      <c r="AK50" t="s">
        <v>213</v>
      </c>
      <c r="AL50" s="9">
        <f t="shared" si="78"/>
        <v>0</v>
      </c>
      <c r="AM50" s="16" t="b">
        <f t="shared" si="30"/>
        <v>0</v>
      </c>
      <c r="AN50" s="16">
        <f t="shared" si="79"/>
        <v>0</v>
      </c>
      <c r="AO50" s="3" t="s">
        <v>371</v>
      </c>
      <c r="AP50" s="24">
        <v>692</v>
      </c>
      <c r="AR50" s="9">
        <f t="shared" si="19"/>
        <v>0</v>
      </c>
      <c r="AS50" s="369" t="s">
        <v>1250</v>
      </c>
      <c r="AT50" s="35">
        <v>0</v>
      </c>
      <c r="AU50" s="35">
        <v>0</v>
      </c>
      <c r="AW50" s="38"/>
      <c r="AX50" s="38"/>
      <c r="AY50" s="9"/>
      <c r="AZ50" s="35"/>
      <c r="BA50" s="3"/>
      <c r="BB50" s="3"/>
      <c r="BC50" s="3"/>
      <c r="BD50" s="15">
        <f>IF(N47="",0,1)</f>
        <v>0</v>
      </c>
      <c r="BE50" s="36">
        <f>+BD50*DN50</f>
        <v>0</v>
      </c>
      <c r="BF50" s="3" t="s">
        <v>193</v>
      </c>
      <c r="BH50" s="158"/>
      <c r="BI50" s="3"/>
      <c r="BJ50" s="15">
        <f>IF(R46="",0,1)</f>
        <v>0</v>
      </c>
      <c r="BK50" s="39">
        <f>+BJ50*0</f>
        <v>0</v>
      </c>
      <c r="BL50" s="3" t="s">
        <v>193</v>
      </c>
      <c r="BN50" s="33">
        <f t="shared" si="85"/>
        <v>0</v>
      </c>
      <c r="BO50" s="33">
        <f t="shared" si="86"/>
        <v>0</v>
      </c>
      <c r="BP50" s="2">
        <f t="shared" si="64"/>
        <v>0</v>
      </c>
      <c r="BQ50">
        <f t="shared" si="71"/>
        <v>0</v>
      </c>
      <c r="BR50" s="42">
        <f t="shared" si="65"/>
        <v>0</v>
      </c>
      <c r="BS50" s="42">
        <f t="shared" si="59"/>
        <v>0</v>
      </c>
      <c r="BV50">
        <f t="shared" si="82"/>
        <v>0</v>
      </c>
      <c r="BW50" s="42">
        <f t="shared" si="83"/>
        <v>0</v>
      </c>
      <c r="BX50" s="42"/>
      <c r="BY50">
        <f t="shared" si="21"/>
        <v>0</v>
      </c>
      <c r="CD50" s="131">
        <f>SUM(AV62:AV63)</f>
        <v>0</v>
      </c>
      <c r="CE50" s="134" t="s">
        <v>10</v>
      </c>
      <c r="CG50" s="120">
        <f t="shared" si="76"/>
        <v>0</v>
      </c>
      <c r="CH50" s="374" t="s">
        <v>101</v>
      </c>
      <c r="CJ50" s="120"/>
      <c r="CK50" s="122"/>
      <c r="CM50" s="120">
        <f>+AL67</f>
        <v>0</v>
      </c>
      <c r="CN50" s="138" t="s">
        <v>381</v>
      </c>
      <c r="CO50" s="121"/>
      <c r="CP50" s="120"/>
      <c r="CQ50" s="134"/>
      <c r="CS50" s="120">
        <f>+BC5</f>
        <v>0</v>
      </c>
      <c r="CT50" s="132" t="s">
        <v>1098</v>
      </c>
      <c r="CV50" s="3" t="s">
        <v>371</v>
      </c>
      <c r="CW50">
        <f t="shared" si="80"/>
        <v>0</v>
      </c>
      <c r="CX50" s="42" t="str">
        <f>IF(BD16=1,"LTS823","LT823")</f>
        <v>LT823</v>
      </c>
      <c r="CY50" t="e">
        <f t="shared" si="72"/>
        <v>#N/A</v>
      </c>
      <c r="CZ50" t="e">
        <f t="shared" si="73"/>
        <v>#N/A</v>
      </c>
      <c r="DA50" t="e">
        <f t="shared" si="67"/>
        <v>#N/A</v>
      </c>
      <c r="DB50" s="38" t="e">
        <f t="shared" si="68"/>
        <v>#N/A</v>
      </c>
      <c r="DC50" t="str">
        <f t="shared" si="84"/>
        <v>R</v>
      </c>
      <c r="DD50" t="str">
        <f t="shared" si="70"/>
        <v xml:space="preserve"> Cstm  </v>
      </c>
      <c r="DE50" t="e">
        <f t="shared" si="74"/>
        <v>#N/A</v>
      </c>
      <c r="DF50" t="b">
        <f t="shared" si="77"/>
        <v>1</v>
      </c>
      <c r="DG50" s="162" t="str">
        <f t="shared" si="75"/>
        <v/>
      </c>
      <c r="DK50" s="217" t="s">
        <v>1146</v>
      </c>
      <c r="DM50" t="s">
        <v>193</v>
      </c>
      <c r="DN50" s="39">
        <v>270</v>
      </c>
      <c r="DO50" s="218"/>
      <c r="ED50" s="8" t="s">
        <v>5</v>
      </c>
      <c r="EE50" s="179">
        <f>+P1</f>
        <v>0</v>
      </c>
      <c r="EJ50" t="s">
        <v>398</v>
      </c>
    </row>
    <row r="51" spans="1:140" ht="15" thickBot="1" x14ac:dyDescent="0.35">
      <c r="A51" s="384"/>
      <c r="B51" s="95"/>
      <c r="C51" s="74" t="s">
        <v>82</v>
      </c>
      <c r="D51" s="75"/>
      <c r="E51" s="81"/>
      <c r="F51" s="95"/>
      <c r="G51" s="51" t="s">
        <v>109</v>
      </c>
      <c r="H51" s="51"/>
      <c r="I51" s="51"/>
      <c r="J51" s="332"/>
      <c r="K51" s="332"/>
      <c r="L51" s="332"/>
      <c r="M51" s="332"/>
      <c r="N51" s="334" t="s">
        <v>140</v>
      </c>
      <c r="O51" s="95"/>
      <c r="P51" s="318" t="s">
        <v>1241</v>
      </c>
      <c r="Q51" s="170"/>
      <c r="R51" s="51"/>
      <c r="S51" s="53"/>
      <c r="T51" s="53"/>
      <c r="U51" s="55"/>
      <c r="V51" s="51"/>
      <c r="W51" s="51"/>
      <c r="X51" s="53"/>
      <c r="Y51" s="53"/>
      <c r="Z51" s="53"/>
      <c r="AA51" s="53"/>
      <c r="AB51" s="53"/>
      <c r="AC51" s="53"/>
      <c r="AD51"/>
      <c r="AE51" s="38"/>
      <c r="AG51" s="70" t="str">
        <f t="shared" si="28"/>
        <v/>
      </c>
      <c r="AK51" t="s">
        <v>213</v>
      </c>
      <c r="AL51" s="9">
        <f t="shared" si="78"/>
        <v>0</v>
      </c>
      <c r="AM51" s="16" t="b">
        <f t="shared" si="30"/>
        <v>0</v>
      </c>
      <c r="AN51" s="16">
        <f t="shared" si="79"/>
        <v>0</v>
      </c>
      <c r="AO51" s="3" t="s">
        <v>372</v>
      </c>
      <c r="AP51" s="24">
        <v>788</v>
      </c>
      <c r="AR51" s="9">
        <f t="shared" si="19"/>
        <v>0</v>
      </c>
      <c r="AS51" s="51" t="s">
        <v>109</v>
      </c>
      <c r="AT51" s="35">
        <v>0</v>
      </c>
      <c r="AU51" s="35">
        <v>200</v>
      </c>
      <c r="AW51" s="38"/>
      <c r="AX51" s="38"/>
      <c r="AY51" s="9"/>
      <c r="AZ51" s="40">
        <f>SUM(AZ46:AZ50)</f>
        <v>0</v>
      </c>
      <c r="BA51" s="24" t="s">
        <v>227</v>
      </c>
      <c r="BB51" s="3"/>
      <c r="BC51" s="25" t="s">
        <v>204</v>
      </c>
      <c r="BD51">
        <f>SUM(BD46:BD50)</f>
        <v>0</v>
      </c>
      <c r="BE51" s="49">
        <f>SUM(BE46:BE50)</f>
        <v>0</v>
      </c>
      <c r="BF51" s="50" t="s">
        <v>227</v>
      </c>
      <c r="BI51" s="25" t="s">
        <v>204</v>
      </c>
      <c r="BJ51" s="2">
        <f>SUM(BJ47:BJ50)</f>
        <v>0</v>
      </c>
      <c r="BK51" s="44">
        <f>SUM(BK47:BK50)</f>
        <v>0</v>
      </c>
      <c r="BL51" s="50" t="s">
        <v>227</v>
      </c>
      <c r="BN51" s="33">
        <f t="shared" si="85"/>
        <v>0</v>
      </c>
      <c r="BO51" s="33">
        <f t="shared" si="86"/>
        <v>0</v>
      </c>
      <c r="BP51" s="2">
        <f t="shared" si="64"/>
        <v>0</v>
      </c>
      <c r="BQ51">
        <f t="shared" si="71"/>
        <v>0</v>
      </c>
      <c r="BR51" s="42">
        <f t="shared" si="65"/>
        <v>0</v>
      </c>
      <c r="BS51" s="42">
        <f t="shared" si="59"/>
        <v>0</v>
      </c>
      <c r="BV51">
        <f t="shared" si="82"/>
        <v>0</v>
      </c>
      <c r="BW51" s="42">
        <f t="shared" si="83"/>
        <v>0</v>
      </c>
      <c r="BX51" s="42"/>
      <c r="BY51">
        <f t="shared" si="21"/>
        <v>0</v>
      </c>
      <c r="CA51" s="104" t="s">
        <v>419</v>
      </c>
      <c r="CB51" s="104"/>
      <c r="CD51" s="131">
        <f>+BH36+BH38</f>
        <v>0</v>
      </c>
      <c r="CE51" s="134" t="s">
        <v>646</v>
      </c>
      <c r="CG51" s="120">
        <f t="shared" si="76"/>
        <v>0</v>
      </c>
      <c r="CH51" s="373" t="s">
        <v>1010</v>
      </c>
      <c r="CJ51" s="120" t="s">
        <v>457</v>
      </c>
      <c r="CK51" s="122"/>
      <c r="CM51" s="120">
        <f>+AL68</f>
        <v>0</v>
      </c>
      <c r="CN51" s="138" t="s">
        <v>382</v>
      </c>
      <c r="CO51" s="121"/>
      <c r="CP51" s="131"/>
      <c r="CQ51" s="134"/>
      <c r="CS51" s="120">
        <f>SUM(CS49:CS50)</f>
        <v>0</v>
      </c>
      <c r="CT51" s="139" t="s">
        <v>583</v>
      </c>
      <c r="CV51" s="3" t="s">
        <v>372</v>
      </c>
      <c r="CW51">
        <f t="shared" si="80"/>
        <v>0</v>
      </c>
      <c r="CX51" s="42" t="str">
        <f>IF(BD16=1,"LTS804","LT804")</f>
        <v>LT804</v>
      </c>
      <c r="CY51" t="e">
        <f t="shared" si="72"/>
        <v>#N/A</v>
      </c>
      <c r="CZ51" t="e">
        <f t="shared" si="73"/>
        <v>#N/A</v>
      </c>
      <c r="DA51" t="e">
        <f t="shared" si="67"/>
        <v>#N/A</v>
      </c>
      <c r="DB51" s="38" t="e">
        <f t="shared" si="68"/>
        <v>#N/A</v>
      </c>
      <c r="DC51" t="str">
        <f t="shared" si="84"/>
        <v>R</v>
      </c>
      <c r="DD51" t="str">
        <f t="shared" si="70"/>
        <v xml:space="preserve"> Cstm  </v>
      </c>
      <c r="DE51" t="e">
        <f t="shared" si="74"/>
        <v>#N/A</v>
      </c>
      <c r="DF51" t="b">
        <f t="shared" si="77"/>
        <v>1</v>
      </c>
      <c r="DG51" s="162" t="str">
        <f t="shared" si="75"/>
        <v/>
      </c>
      <c r="DK51" s="217"/>
      <c r="DN51" s="39"/>
      <c r="DO51" s="218"/>
      <c r="EJ51" t="s">
        <v>398</v>
      </c>
    </row>
    <row r="52" spans="1:140" ht="15" customHeight="1" x14ac:dyDescent="0.3">
      <c r="A52" s="384"/>
      <c r="B52" s="95"/>
      <c r="C52" s="74" t="s">
        <v>83</v>
      </c>
      <c r="D52" s="75"/>
      <c r="E52" s="81"/>
      <c r="F52" s="95"/>
      <c r="G52" s="51" t="s">
        <v>110</v>
      </c>
      <c r="H52" s="51"/>
      <c r="I52" s="51"/>
      <c r="J52" s="389" t="s">
        <v>200</v>
      </c>
      <c r="K52" s="96"/>
      <c r="L52" s="332" t="s">
        <v>1238</v>
      </c>
      <c r="M52" s="332"/>
      <c r="N52" s="332"/>
      <c r="O52" s="95"/>
      <c r="P52" s="318" t="s">
        <v>1242</v>
      </c>
      <c r="Q52" s="170"/>
      <c r="R52" s="51"/>
      <c r="S52" s="53"/>
      <c r="T52" s="53"/>
      <c r="U52" s="368"/>
      <c r="V52" s="51"/>
      <c r="W52" s="51"/>
      <c r="X52" s="53"/>
      <c r="Y52" s="53"/>
      <c r="Z52" s="53"/>
      <c r="AA52" s="53"/>
      <c r="AB52" s="53"/>
      <c r="AC52" s="53"/>
      <c r="AD52"/>
      <c r="AE52" s="38"/>
      <c r="AG52" s="70" t="str">
        <f t="shared" si="28"/>
        <v/>
      </c>
      <c r="AK52" t="s">
        <v>213</v>
      </c>
      <c r="AL52" s="9">
        <f t="shared" si="78"/>
        <v>0</v>
      </c>
      <c r="AM52" s="16" t="b">
        <f t="shared" si="30"/>
        <v>0</v>
      </c>
      <c r="AN52" s="16">
        <f t="shared" si="79"/>
        <v>0</v>
      </c>
      <c r="AO52" s="3" t="s">
        <v>373</v>
      </c>
      <c r="AP52" s="24">
        <v>788</v>
      </c>
      <c r="AR52" s="9">
        <f t="shared" si="19"/>
        <v>0</v>
      </c>
      <c r="AS52" s="51" t="s">
        <v>110</v>
      </c>
      <c r="AT52" s="35">
        <v>0</v>
      </c>
      <c r="AU52" s="35">
        <v>200</v>
      </c>
      <c r="AY52" s="27">
        <f>SUM(AY46:AY49)</f>
        <v>0</v>
      </c>
      <c r="AZ52" s="3" t="s">
        <v>204</v>
      </c>
      <c r="BA52" s="3"/>
      <c r="BB52" s="3"/>
      <c r="BN52" s="33">
        <f t="shared" si="85"/>
        <v>0</v>
      </c>
      <c r="BO52" s="33">
        <f t="shared" si="86"/>
        <v>0</v>
      </c>
      <c r="BP52" s="2">
        <f t="shared" si="64"/>
        <v>0</v>
      </c>
      <c r="BQ52">
        <f t="shared" si="71"/>
        <v>0</v>
      </c>
      <c r="BR52" s="42">
        <f t="shared" si="65"/>
        <v>0</v>
      </c>
      <c r="BS52" s="42">
        <f t="shared" si="59"/>
        <v>0</v>
      </c>
      <c r="BV52">
        <f t="shared" si="82"/>
        <v>0</v>
      </c>
      <c r="BW52" s="42">
        <f t="shared" si="83"/>
        <v>0</v>
      </c>
      <c r="BX52" s="42"/>
      <c r="BY52">
        <f t="shared" si="21"/>
        <v>0</v>
      </c>
      <c r="CA52" s="90">
        <f>+BH23</f>
        <v>0</v>
      </c>
      <c r="CB52" s="105" t="s">
        <v>173</v>
      </c>
      <c r="CD52" s="131">
        <f>+BI56</f>
        <v>0</v>
      </c>
      <c r="CE52" s="134" t="s">
        <v>433</v>
      </c>
      <c r="CG52" s="120">
        <f t="shared" si="76"/>
        <v>0</v>
      </c>
      <c r="CH52" s="374" t="s">
        <v>130</v>
      </c>
      <c r="CJ52" s="120">
        <f>+BF4</f>
        <v>0</v>
      </c>
      <c r="CK52" s="122" t="s">
        <v>458</v>
      </c>
      <c r="CM52" s="120">
        <f>SUM(CM45:CM51)</f>
        <v>0</v>
      </c>
      <c r="CN52" s="138" t="s">
        <v>469</v>
      </c>
      <c r="CO52" s="121"/>
      <c r="CP52" s="131"/>
      <c r="CQ52" s="134"/>
      <c r="CS52" s="125"/>
      <c r="CT52" s="126"/>
      <c r="CV52" s="3" t="s">
        <v>373</v>
      </c>
      <c r="CW52">
        <f t="shared" si="80"/>
        <v>0</v>
      </c>
      <c r="CX52" s="42" t="str">
        <f>IF(BD16=1,"LTS814","LT814")</f>
        <v>LT814</v>
      </c>
      <c r="CY52" t="e">
        <f t="shared" si="72"/>
        <v>#N/A</v>
      </c>
      <c r="CZ52" t="e">
        <f t="shared" si="73"/>
        <v>#N/A</v>
      </c>
      <c r="DA52" t="e">
        <f t="shared" si="67"/>
        <v>#N/A</v>
      </c>
      <c r="DB52" s="38" t="e">
        <f t="shared" si="68"/>
        <v>#N/A</v>
      </c>
      <c r="DC52" t="str">
        <f t="shared" si="84"/>
        <v>R</v>
      </c>
      <c r="DD52" t="str">
        <f t="shared" si="70"/>
        <v xml:space="preserve"> Cstm  </v>
      </c>
      <c r="DE52" t="e">
        <f t="shared" si="74"/>
        <v>#N/A</v>
      </c>
      <c r="DF52" t="b">
        <f t="shared" si="77"/>
        <v>1</v>
      </c>
      <c r="DG52" s="162" t="str">
        <f t="shared" si="75"/>
        <v/>
      </c>
      <c r="DK52" s="217" t="s">
        <v>1147</v>
      </c>
      <c r="DM52" t="s">
        <v>196</v>
      </c>
      <c r="DN52" s="39">
        <v>0</v>
      </c>
      <c r="DO52" s="218"/>
      <c r="EJ52" t="s">
        <v>398</v>
      </c>
    </row>
    <row r="53" spans="1:140" ht="15" customHeight="1" x14ac:dyDescent="0.3">
      <c r="A53" s="384"/>
      <c r="B53" s="95"/>
      <c r="C53" s="74" t="s">
        <v>84</v>
      </c>
      <c r="D53" s="75"/>
      <c r="E53" s="79"/>
      <c r="F53" s="95"/>
      <c r="G53" s="51" t="s">
        <v>662</v>
      </c>
      <c r="H53" s="51"/>
      <c r="I53" s="51"/>
      <c r="J53" s="389"/>
      <c r="K53" s="96"/>
      <c r="L53" s="332" t="s">
        <v>1239</v>
      </c>
      <c r="M53" s="332"/>
      <c r="N53" s="332"/>
      <c r="O53" s="95"/>
      <c r="P53" s="318" t="s">
        <v>1243</v>
      </c>
      <c r="Q53" s="170"/>
      <c r="R53" s="51"/>
      <c r="S53" s="51"/>
      <c r="T53" s="53"/>
      <c r="U53" s="368"/>
      <c r="V53" s="53"/>
      <c r="W53" s="53"/>
      <c r="X53" s="53"/>
      <c r="Y53" s="53"/>
      <c r="Z53" s="53"/>
      <c r="AA53" s="53"/>
      <c r="AB53" s="53"/>
      <c r="AC53" s="53"/>
      <c r="AD53"/>
      <c r="AG53" s="70" t="str">
        <f t="shared" si="28"/>
        <v/>
      </c>
      <c r="AK53" t="s">
        <v>213</v>
      </c>
      <c r="AL53" s="9">
        <f t="shared" si="78"/>
        <v>0</v>
      </c>
      <c r="AM53" s="16" t="b">
        <f t="shared" si="30"/>
        <v>0</v>
      </c>
      <c r="AN53" s="16">
        <f t="shared" si="79"/>
        <v>0</v>
      </c>
      <c r="AO53" s="3" t="s">
        <v>349</v>
      </c>
      <c r="AP53" s="24">
        <v>788</v>
      </c>
      <c r="AR53" s="9">
        <f t="shared" si="19"/>
        <v>0</v>
      </c>
      <c r="AS53" s="51" t="s">
        <v>662</v>
      </c>
      <c r="AT53" s="35">
        <v>0</v>
      </c>
      <c r="AU53" s="35">
        <v>200</v>
      </c>
      <c r="BN53" s="33">
        <f t="shared" si="85"/>
        <v>0</v>
      </c>
      <c r="BO53" s="33">
        <f t="shared" si="86"/>
        <v>0</v>
      </c>
      <c r="BP53" s="2">
        <f t="shared" si="64"/>
        <v>0</v>
      </c>
      <c r="BQ53">
        <f t="shared" si="71"/>
        <v>0</v>
      </c>
      <c r="BR53" s="42">
        <f t="shared" si="65"/>
        <v>0</v>
      </c>
      <c r="BS53" s="42">
        <f t="shared" si="59"/>
        <v>0</v>
      </c>
      <c r="BV53">
        <f t="shared" si="82"/>
        <v>0</v>
      </c>
      <c r="BW53" s="42">
        <f t="shared" si="83"/>
        <v>0</v>
      </c>
      <c r="BX53" s="42"/>
      <c r="BY53">
        <f t="shared" si="21"/>
        <v>0</v>
      </c>
      <c r="CA53" s="90">
        <f>+BH24</f>
        <v>0</v>
      </c>
      <c r="CB53" s="105" t="s">
        <v>174</v>
      </c>
      <c r="CD53" s="131">
        <f>+BE41</f>
        <v>0</v>
      </c>
      <c r="CE53" s="134" t="s">
        <v>434</v>
      </c>
      <c r="CG53" s="120">
        <f t="shared" si="76"/>
        <v>0</v>
      </c>
      <c r="CH53" s="373" t="s">
        <v>126</v>
      </c>
      <c r="CJ53" s="120"/>
      <c r="CK53" s="122"/>
      <c r="CM53" s="120"/>
      <c r="CN53" s="138"/>
      <c r="CO53" s="121"/>
      <c r="CP53" s="131"/>
      <c r="CQ53" s="134"/>
      <c r="CV53" s="3" t="s">
        <v>349</v>
      </c>
      <c r="CW53">
        <f t="shared" si="80"/>
        <v>0</v>
      </c>
      <c r="CX53" s="42" t="str">
        <f>IF(BD16=1,"LTS824","LT824")</f>
        <v>LT824</v>
      </c>
      <c r="CY53" t="e">
        <f t="shared" si="72"/>
        <v>#N/A</v>
      </c>
      <c r="CZ53" t="e">
        <f t="shared" si="73"/>
        <v>#N/A</v>
      </c>
      <c r="DA53" t="e">
        <f t="shared" si="67"/>
        <v>#N/A</v>
      </c>
      <c r="DB53" s="38" t="e">
        <f t="shared" si="68"/>
        <v>#N/A</v>
      </c>
      <c r="DC53" t="str">
        <f t="shared" si="84"/>
        <v>R</v>
      </c>
      <c r="DD53" t="str">
        <f t="shared" si="70"/>
        <v xml:space="preserve"> Cstm  </v>
      </c>
      <c r="DE53" t="e">
        <f t="shared" si="74"/>
        <v>#N/A</v>
      </c>
      <c r="DF53" t="b">
        <f t="shared" si="77"/>
        <v>1</v>
      </c>
      <c r="DG53" s="162" t="str">
        <f t="shared" si="75"/>
        <v/>
      </c>
      <c r="DK53" s="217"/>
      <c r="DN53" s="39"/>
      <c r="DO53" s="218"/>
      <c r="EJ53" t="s">
        <v>398</v>
      </c>
    </row>
    <row r="54" spans="1:140" x14ac:dyDescent="0.3">
      <c r="A54" s="384"/>
      <c r="B54" s="95"/>
      <c r="C54" s="74" t="s">
        <v>85</v>
      </c>
      <c r="D54" s="75"/>
      <c r="E54" s="79"/>
      <c r="F54" s="95"/>
      <c r="G54" s="51" t="s">
        <v>112</v>
      </c>
      <c r="H54" s="64"/>
      <c r="I54" s="51"/>
      <c r="J54" s="389"/>
      <c r="K54" s="96"/>
      <c r="L54" s="332" t="s">
        <v>1240</v>
      </c>
      <c r="M54" s="332"/>
      <c r="N54" s="332"/>
      <c r="O54" s="362"/>
      <c r="P54" s="318"/>
      <c r="Q54" s="170"/>
      <c r="R54" s="51"/>
      <c r="S54" s="51"/>
      <c r="T54" s="53"/>
      <c r="U54" s="368"/>
      <c r="V54" s="53"/>
      <c r="W54" s="53"/>
      <c r="X54" s="53"/>
      <c r="Y54" s="53"/>
      <c r="Z54" s="53"/>
      <c r="AA54" s="53"/>
      <c r="AB54" s="53"/>
      <c r="AC54" s="53"/>
      <c r="AD54"/>
      <c r="AG54" s="70" t="str">
        <f t="shared" si="28"/>
        <v/>
      </c>
      <c r="AK54" t="s">
        <v>213</v>
      </c>
      <c r="AL54" s="9">
        <f t="shared" si="78"/>
        <v>0</v>
      </c>
      <c r="AM54" s="16" t="b">
        <f t="shared" si="30"/>
        <v>0</v>
      </c>
      <c r="AN54" s="16">
        <f t="shared" si="79"/>
        <v>0</v>
      </c>
      <c r="AO54" s="3" t="s">
        <v>350</v>
      </c>
      <c r="AP54" s="24">
        <v>788</v>
      </c>
      <c r="AR54" s="9">
        <f t="shared" si="19"/>
        <v>0</v>
      </c>
      <c r="AS54" s="51" t="s">
        <v>112</v>
      </c>
      <c r="AT54" s="35">
        <v>0</v>
      </c>
      <c r="AU54" s="35">
        <v>200</v>
      </c>
      <c r="AY54" s="121"/>
      <c r="AZ54" s="121"/>
      <c r="BA54" s="121"/>
      <c r="BB54" s="121"/>
      <c r="BI54" s="12" t="s">
        <v>233</v>
      </c>
      <c r="BJ54" t="s">
        <v>227</v>
      </c>
      <c r="BN54" s="33">
        <f t="shared" si="85"/>
        <v>0</v>
      </c>
      <c r="BO54" s="33">
        <f t="shared" si="86"/>
        <v>0</v>
      </c>
      <c r="BP54" s="2">
        <f t="shared" si="64"/>
        <v>0</v>
      </c>
      <c r="BQ54">
        <f t="shared" si="71"/>
        <v>0</v>
      </c>
      <c r="BR54" s="42">
        <f t="shared" si="65"/>
        <v>0</v>
      </c>
      <c r="BS54" s="42">
        <f t="shared" si="59"/>
        <v>0</v>
      </c>
      <c r="BV54">
        <f t="shared" si="82"/>
        <v>0</v>
      </c>
      <c r="BW54" s="42">
        <f t="shared" si="83"/>
        <v>0</v>
      </c>
      <c r="BX54" s="42"/>
      <c r="BY54">
        <f t="shared" si="21"/>
        <v>0</v>
      </c>
      <c r="CA54" s="90">
        <f>+BH25</f>
        <v>0</v>
      </c>
      <c r="CB54" s="105" t="s">
        <v>175</v>
      </c>
      <c r="CD54" s="131">
        <f>SUM(BD46,BD48:BD50)</f>
        <v>0</v>
      </c>
      <c r="CE54" s="134" t="s">
        <v>18</v>
      </c>
      <c r="CG54" s="120">
        <f t="shared" si="76"/>
        <v>0</v>
      </c>
      <c r="CH54" s="373" t="s">
        <v>106</v>
      </c>
      <c r="CJ54" s="120">
        <f>+AL67</f>
        <v>0</v>
      </c>
      <c r="CK54" s="122" t="s">
        <v>381</v>
      </c>
      <c r="CM54" s="123">
        <f>+CM52*CM43</f>
        <v>0</v>
      </c>
      <c r="CN54" s="139" t="s">
        <v>444</v>
      </c>
      <c r="CO54" s="121"/>
      <c r="CP54" s="120"/>
      <c r="CQ54" s="132"/>
      <c r="CV54" s="3" t="s">
        <v>350</v>
      </c>
      <c r="CW54">
        <f t="shared" si="80"/>
        <v>0</v>
      </c>
      <c r="CX54" s="42" t="str">
        <f>IF(BD16=1,"LTS834","LT834")</f>
        <v>LT834</v>
      </c>
      <c r="CY54" t="e">
        <f t="shared" si="72"/>
        <v>#N/A</v>
      </c>
      <c r="CZ54" t="e">
        <f t="shared" si="73"/>
        <v>#N/A</v>
      </c>
      <c r="DA54" t="e">
        <f t="shared" si="67"/>
        <v>#N/A</v>
      </c>
      <c r="DB54" s="38" t="e">
        <f t="shared" si="68"/>
        <v>#N/A</v>
      </c>
      <c r="DC54" t="str">
        <f t="shared" si="84"/>
        <v>R</v>
      </c>
      <c r="DD54" t="str">
        <f t="shared" si="70"/>
        <v xml:space="preserve"> Cstm  </v>
      </c>
      <c r="DE54" t="e">
        <f t="shared" si="74"/>
        <v>#N/A</v>
      </c>
      <c r="DF54" t="b">
        <f t="shared" si="77"/>
        <v>1</v>
      </c>
      <c r="DG54" s="162" t="str">
        <f t="shared" si="75"/>
        <v/>
      </c>
      <c r="DK54" s="217" t="s">
        <v>1148</v>
      </c>
      <c r="DM54" t="s">
        <v>658</v>
      </c>
      <c r="DN54" s="39">
        <v>85</v>
      </c>
      <c r="DO54" s="218"/>
      <c r="EJ54" t="s">
        <v>398</v>
      </c>
    </row>
    <row r="55" spans="1:140" x14ac:dyDescent="0.3">
      <c r="A55" s="384"/>
      <c r="B55" s="95"/>
      <c r="C55" s="74" t="s">
        <v>86</v>
      </c>
      <c r="D55" s="75"/>
      <c r="E55" s="79"/>
      <c r="F55" s="95"/>
      <c r="G55" s="51" t="s">
        <v>113</v>
      </c>
      <c r="H55" s="64"/>
      <c r="I55" s="51"/>
      <c r="J55" s="332"/>
      <c r="K55" s="334"/>
      <c r="L55" s="332"/>
      <c r="M55" s="332"/>
      <c r="N55" s="363" t="str">
        <f>IF(BD16 = 1,"Floor Toms","Toms")</f>
        <v>Toms</v>
      </c>
      <c r="O55" s="364" t="s">
        <v>26</v>
      </c>
      <c r="P55" s="318" t="s">
        <v>1239</v>
      </c>
      <c r="Q55" s="170"/>
      <c r="R55" s="51"/>
      <c r="S55" s="51"/>
      <c r="T55" s="53"/>
      <c r="X55" s="53"/>
      <c r="Y55" s="53"/>
      <c r="Z55" s="53"/>
      <c r="AA55" s="53"/>
      <c r="AB55" s="53"/>
      <c r="AC55" s="53"/>
      <c r="AD55"/>
      <c r="AG55" s="70" t="str">
        <f t="shared" si="28"/>
        <v/>
      </c>
      <c r="AK55" t="s">
        <v>213</v>
      </c>
      <c r="AL55" s="9">
        <f t="shared" si="78"/>
        <v>0</v>
      </c>
      <c r="AM55" s="16" t="b">
        <f t="shared" si="30"/>
        <v>0</v>
      </c>
      <c r="AN55" s="16">
        <f t="shared" si="79"/>
        <v>0</v>
      </c>
      <c r="AO55" s="3" t="s">
        <v>351</v>
      </c>
      <c r="AP55" s="24">
        <v>788</v>
      </c>
      <c r="AR55" s="9">
        <f t="shared" si="19"/>
        <v>0</v>
      </c>
      <c r="AS55" s="51" t="s">
        <v>113</v>
      </c>
      <c r="AT55" s="35">
        <v>0</v>
      </c>
      <c r="AU55" s="35">
        <v>200</v>
      </c>
      <c r="AY55" s="6"/>
      <c r="AZ55" s="354" t="s">
        <v>23</v>
      </c>
      <c r="BA55" s="18"/>
      <c r="BB55" s="18"/>
      <c r="BC55" s="3"/>
      <c r="BD55" s="3"/>
      <c r="BE55" s="354" t="s">
        <v>24</v>
      </c>
      <c r="BF55" s="355"/>
      <c r="BI55" s="9">
        <f>IF(R49="",0,1)</f>
        <v>0</v>
      </c>
      <c r="BJ55" s="39">
        <f>+BI55*0</f>
        <v>0</v>
      </c>
      <c r="BK55" s="18" t="s">
        <v>234</v>
      </c>
      <c r="BN55" s="33">
        <f t="shared" si="85"/>
        <v>0</v>
      </c>
      <c r="BO55" s="33">
        <f t="shared" si="86"/>
        <v>0</v>
      </c>
      <c r="BP55" s="2">
        <f t="shared" si="64"/>
        <v>0</v>
      </c>
      <c r="BQ55">
        <f t="shared" si="71"/>
        <v>0</v>
      </c>
      <c r="BR55" s="42">
        <f t="shared" si="65"/>
        <v>0</v>
      </c>
      <c r="BS55" s="42">
        <f t="shared" si="59"/>
        <v>0</v>
      </c>
      <c r="BV55">
        <f t="shared" si="82"/>
        <v>0</v>
      </c>
      <c r="BW55" s="42">
        <f t="shared" si="83"/>
        <v>0</v>
      </c>
      <c r="BX55" s="42"/>
      <c r="BY55">
        <f t="shared" si="21"/>
        <v>0</v>
      </c>
      <c r="CA55" s="90">
        <f>+BH36</f>
        <v>0</v>
      </c>
      <c r="CB55" s="105" t="s">
        <v>184</v>
      </c>
      <c r="CD55" s="131">
        <f>SUM(BJ48:BJ50)</f>
        <v>0</v>
      </c>
      <c r="CE55" s="134" t="s">
        <v>19</v>
      </c>
      <c r="CG55" s="120">
        <f t="shared" si="76"/>
        <v>0</v>
      </c>
      <c r="CH55" s="374" t="s">
        <v>1247</v>
      </c>
      <c r="CJ55" s="123">
        <f>+CJ54*CJ52</f>
        <v>0</v>
      </c>
      <c r="CK55" s="124" t="s">
        <v>452</v>
      </c>
      <c r="CM55" s="120"/>
      <c r="CN55" s="122"/>
      <c r="CO55" s="121"/>
      <c r="CP55" s="120"/>
      <c r="CQ55" s="132"/>
      <c r="CS55" s="118" t="s">
        <v>1160</v>
      </c>
      <c r="CT55" s="119"/>
      <c r="CV55" s="3" t="s">
        <v>351</v>
      </c>
      <c r="CW55">
        <f t="shared" si="80"/>
        <v>0</v>
      </c>
      <c r="CX55" s="42" t="str">
        <f>IF(BD16=1,"LTS844","LT844")</f>
        <v>LT844</v>
      </c>
      <c r="CY55" t="e">
        <f t="shared" si="72"/>
        <v>#N/A</v>
      </c>
      <c r="CZ55" t="e">
        <f t="shared" si="73"/>
        <v>#N/A</v>
      </c>
      <c r="DA55" t="e">
        <f t="shared" si="67"/>
        <v>#N/A</v>
      </c>
      <c r="DB55" s="38" t="e">
        <f t="shared" si="68"/>
        <v>#N/A</v>
      </c>
      <c r="DC55" t="str">
        <f t="shared" si="84"/>
        <v>R</v>
      </c>
      <c r="DD55" t="str">
        <f t="shared" si="70"/>
        <v xml:space="preserve"> Cstm  </v>
      </c>
      <c r="DE55" t="e">
        <f t="shared" si="74"/>
        <v>#N/A</v>
      </c>
      <c r="DF55" t="b">
        <f t="shared" si="77"/>
        <v>1</v>
      </c>
      <c r="DG55" s="162" t="str">
        <f t="shared" si="75"/>
        <v/>
      </c>
      <c r="DK55" s="217"/>
      <c r="DN55" s="39"/>
      <c r="EJ55" t="s">
        <v>398</v>
      </c>
    </row>
    <row r="56" spans="1:140" x14ac:dyDescent="0.3">
      <c r="A56" s="384"/>
      <c r="B56" s="95"/>
      <c r="C56" s="74" t="s">
        <v>87</v>
      </c>
      <c r="D56" s="75"/>
      <c r="E56" s="79"/>
      <c r="F56" s="95"/>
      <c r="G56" s="51" t="s">
        <v>114</v>
      </c>
      <c r="H56" s="64"/>
      <c r="I56" s="51"/>
      <c r="J56" s="389" t="s">
        <v>42</v>
      </c>
      <c r="K56" s="99"/>
      <c r="L56" s="359" t="s">
        <v>202</v>
      </c>
      <c r="M56" s="332"/>
      <c r="N56" s="332"/>
      <c r="O56" s="362"/>
      <c r="P56" s="365"/>
      <c r="Q56" s="170"/>
      <c r="R56" s="51"/>
      <c r="S56" s="51"/>
      <c r="T56" s="53"/>
      <c r="U56" s="368"/>
      <c r="V56" s="53"/>
      <c r="W56" s="53"/>
      <c r="X56" s="53"/>
      <c r="Y56" s="53"/>
      <c r="Z56" s="53"/>
      <c r="AA56" s="53"/>
      <c r="AB56" s="53"/>
      <c r="AC56" s="53"/>
      <c r="AD56"/>
      <c r="AG56" s="70" t="str">
        <f t="shared" si="28"/>
        <v/>
      </c>
      <c r="AK56" t="s">
        <v>213</v>
      </c>
      <c r="AL56" s="9">
        <f t="shared" si="78"/>
        <v>0</v>
      </c>
      <c r="AM56" s="16" t="b">
        <f t="shared" si="30"/>
        <v>0</v>
      </c>
      <c r="AN56" s="16">
        <f t="shared" si="79"/>
        <v>0</v>
      </c>
      <c r="AO56" s="3" t="s">
        <v>374</v>
      </c>
      <c r="AP56" s="24">
        <v>874</v>
      </c>
      <c r="AR56" s="9">
        <f t="shared" si="19"/>
        <v>0</v>
      </c>
      <c r="AS56" s="51" t="s">
        <v>114</v>
      </c>
      <c r="AT56" s="35">
        <v>0</v>
      </c>
      <c r="AU56" s="35">
        <v>200</v>
      </c>
      <c r="AY56" s="20" t="s">
        <v>140</v>
      </c>
      <c r="AZ56" s="13">
        <f>IF(K50="",0,1)</f>
        <v>1</v>
      </c>
      <c r="BA56" s="18" t="s">
        <v>1237</v>
      </c>
      <c r="BB56" s="18"/>
      <c r="BC56" s="3"/>
      <c r="BD56" s="4" t="s">
        <v>140</v>
      </c>
      <c r="BE56" s="13">
        <f t="shared" ref="BE56:BE58" si="87">IF(O51="",0,1)</f>
        <v>0</v>
      </c>
      <c r="BF56" s="236" t="s">
        <v>1241</v>
      </c>
      <c r="BI56" s="9">
        <f>IF(R50="",0,1)</f>
        <v>0</v>
      </c>
      <c r="BJ56" s="39">
        <f>+BI56*DN45</f>
        <v>0</v>
      </c>
      <c r="BK56" s="18" t="s">
        <v>187</v>
      </c>
      <c r="BN56" s="33">
        <f t="shared" si="85"/>
        <v>0</v>
      </c>
      <c r="BO56" s="33">
        <f t="shared" si="86"/>
        <v>0</v>
      </c>
      <c r="BP56" s="222">
        <f t="shared" si="64"/>
        <v>0</v>
      </c>
      <c r="BQ56">
        <f t="shared" si="71"/>
        <v>0</v>
      </c>
      <c r="BR56" s="42">
        <f t="shared" si="65"/>
        <v>0</v>
      </c>
      <c r="BS56" s="42">
        <f t="shared" si="59"/>
        <v>0</v>
      </c>
      <c r="BV56">
        <f t="shared" si="82"/>
        <v>0</v>
      </c>
      <c r="BW56" s="42">
        <f t="shared" si="83"/>
        <v>0</v>
      </c>
      <c r="BX56" s="42"/>
      <c r="BY56">
        <f t="shared" si="21"/>
        <v>0</v>
      </c>
      <c r="CA56" s="90">
        <f>SUM(CA53:CA55)</f>
        <v>0</v>
      </c>
      <c r="CB56" s="105" t="s">
        <v>412</v>
      </c>
      <c r="CD56" s="131">
        <f>SUM(CD5:CD55)</f>
        <v>0</v>
      </c>
      <c r="CE56" s="134" t="s">
        <v>429</v>
      </c>
      <c r="CG56" s="120">
        <f t="shared" si="76"/>
        <v>0</v>
      </c>
      <c r="CH56" s="373" t="s">
        <v>129</v>
      </c>
      <c r="CJ56" s="120"/>
      <c r="CK56" s="122"/>
      <c r="CM56" s="120">
        <f>+BD48</f>
        <v>0</v>
      </c>
      <c r="CN56" s="138" t="s">
        <v>473</v>
      </c>
      <c r="CO56" s="121"/>
      <c r="CP56" s="120"/>
      <c r="CQ56" s="122"/>
      <c r="CS56" s="120"/>
      <c r="CT56" s="122"/>
      <c r="CV56" s="3" t="s">
        <v>374</v>
      </c>
      <c r="CW56">
        <f t="shared" si="80"/>
        <v>0</v>
      </c>
      <c r="CX56" s="42" t="str">
        <f>IF(BD16=1,"LTS825","LT825")</f>
        <v>LT825</v>
      </c>
      <c r="CY56" t="e">
        <f t="shared" si="72"/>
        <v>#N/A</v>
      </c>
      <c r="CZ56" t="e">
        <f t="shared" si="73"/>
        <v>#N/A</v>
      </c>
      <c r="DA56" t="e">
        <f t="shared" si="67"/>
        <v>#N/A</v>
      </c>
      <c r="DB56" s="38" t="e">
        <f t="shared" si="68"/>
        <v>#N/A</v>
      </c>
      <c r="DC56" t="str">
        <f t="shared" si="84"/>
        <v>R</v>
      </c>
      <c r="DD56" t="str">
        <f t="shared" si="70"/>
        <v xml:space="preserve"> Cstm  </v>
      </c>
      <c r="DE56" t="e">
        <f t="shared" si="74"/>
        <v>#N/A</v>
      </c>
      <c r="DF56" t="b">
        <f t="shared" si="77"/>
        <v>1</v>
      </c>
      <c r="DG56" s="162" t="str">
        <f t="shared" si="75"/>
        <v/>
      </c>
      <c r="DK56" s="217"/>
      <c r="DM56" s="70" t="s">
        <v>1137</v>
      </c>
      <c r="DN56" s="39"/>
      <c r="EJ56" t="s">
        <v>398</v>
      </c>
    </row>
    <row r="57" spans="1:140" x14ac:dyDescent="0.3">
      <c r="A57" s="384"/>
      <c r="B57" s="95"/>
      <c r="C57" s="74" t="s">
        <v>88</v>
      </c>
      <c r="D57" s="75"/>
      <c r="E57" s="79"/>
      <c r="F57" s="63"/>
      <c r="G57" s="112" t="s">
        <v>441</v>
      </c>
      <c r="H57" s="51"/>
      <c r="I57" s="51"/>
      <c r="J57" s="389"/>
      <c r="K57" s="99"/>
      <c r="L57" s="332" t="s">
        <v>201</v>
      </c>
      <c r="M57" s="332"/>
      <c r="N57" s="332"/>
      <c r="O57" s="266"/>
      <c r="P57" s="267"/>
      <c r="Q57" s="170"/>
      <c r="R57" s="51"/>
      <c r="S57" s="51"/>
      <c r="T57" s="53"/>
      <c r="U57" s="368"/>
      <c r="V57" s="53"/>
      <c r="W57" s="53"/>
      <c r="X57" s="53"/>
      <c r="Y57" s="53"/>
      <c r="Z57" s="53"/>
      <c r="AA57" s="53"/>
      <c r="AB57" s="53"/>
      <c r="AC57" s="53"/>
      <c r="AD57"/>
      <c r="AG57" s="70" t="str">
        <f t="shared" si="28"/>
        <v/>
      </c>
      <c r="AK57" t="s">
        <v>213</v>
      </c>
      <c r="AL57" s="9">
        <f t="shared" si="78"/>
        <v>0</v>
      </c>
      <c r="AM57" s="16" t="b">
        <f t="shared" si="30"/>
        <v>0</v>
      </c>
      <c r="AN57" s="16">
        <f t="shared" si="79"/>
        <v>0</v>
      </c>
      <c r="AO57" s="3" t="s">
        <v>352</v>
      </c>
      <c r="AP57" s="24">
        <v>874</v>
      </c>
      <c r="AR57" s="13">
        <f>SUM(AR3:AR56)</f>
        <v>0</v>
      </c>
      <c r="AS57" s="19" t="s">
        <v>204</v>
      </c>
      <c r="AT57" s="4"/>
      <c r="AU57" s="4"/>
      <c r="AY57" s="6"/>
      <c r="AZ57" s="17"/>
      <c r="BA57" s="18"/>
      <c r="BB57" s="18"/>
      <c r="BC57" s="3"/>
      <c r="BD57" s="3"/>
      <c r="BE57" s="13">
        <f t="shared" si="87"/>
        <v>0</v>
      </c>
      <c r="BF57" s="236" t="s">
        <v>1242</v>
      </c>
      <c r="BH57" s="25" t="s">
        <v>204</v>
      </c>
      <c r="BI57">
        <f>SUM(BI55:BI56)</f>
        <v>0</v>
      </c>
      <c r="BJ57" s="44">
        <f>SUM(BJ55:BJ56)</f>
        <v>0</v>
      </c>
      <c r="BK57" s="24" t="s">
        <v>227</v>
      </c>
      <c r="BN57" s="33"/>
      <c r="BO57" s="33"/>
      <c r="BP57" s="222">
        <f t="shared" si="64"/>
        <v>0</v>
      </c>
      <c r="BQ57">
        <f t="shared" si="71"/>
        <v>0</v>
      </c>
      <c r="BR57" s="42">
        <f t="shared" si="65"/>
        <v>0</v>
      </c>
      <c r="BS57" s="42">
        <f t="shared" si="59"/>
        <v>0</v>
      </c>
      <c r="BV57">
        <f t="shared" si="82"/>
        <v>0</v>
      </c>
      <c r="BW57" s="42">
        <f t="shared" si="83"/>
        <v>0</v>
      </c>
      <c r="BX57" s="42"/>
      <c r="BY57">
        <f t="shared" si="21"/>
        <v>0</v>
      </c>
      <c r="CB57" s="3"/>
      <c r="CD57" s="131"/>
      <c r="CE57" s="132"/>
      <c r="CG57" s="120">
        <f t="shared" si="76"/>
        <v>0</v>
      </c>
      <c r="CH57" s="374" t="s">
        <v>1248</v>
      </c>
      <c r="CJ57" s="120"/>
      <c r="CK57" s="122"/>
      <c r="CM57" s="120"/>
      <c r="CN57" s="122"/>
      <c r="CO57" s="121"/>
      <c r="CP57" s="120"/>
      <c r="CQ57" s="146"/>
      <c r="CS57" s="325">
        <f>AL3</f>
        <v>0</v>
      </c>
      <c r="CT57" s="122" t="s">
        <v>1018</v>
      </c>
      <c r="CV57" s="3" t="s">
        <v>352</v>
      </c>
      <c r="CW57">
        <f t="shared" si="80"/>
        <v>0</v>
      </c>
      <c r="CX57" s="42" t="str">
        <f>IF(BD16=1,"LTS835","LT835")</f>
        <v>LT835</v>
      </c>
      <c r="CY57" t="e">
        <f t="shared" si="72"/>
        <v>#N/A</v>
      </c>
      <c r="CZ57" t="e">
        <f t="shared" si="73"/>
        <v>#N/A</v>
      </c>
      <c r="DA57" t="e">
        <f t="shared" si="67"/>
        <v>#N/A</v>
      </c>
      <c r="DB57" s="38" t="e">
        <f t="shared" si="68"/>
        <v>#N/A</v>
      </c>
      <c r="DC57" t="str">
        <f t="shared" si="84"/>
        <v>R</v>
      </c>
      <c r="DD57" t="str">
        <f t="shared" si="70"/>
        <v xml:space="preserve"> Cstm  </v>
      </c>
      <c r="DE57" t="e">
        <f t="shared" si="74"/>
        <v>#N/A</v>
      </c>
      <c r="DF57" t="b">
        <f t="shared" si="77"/>
        <v>1</v>
      </c>
      <c r="DG57" s="162" t="str">
        <f t="shared" si="75"/>
        <v/>
      </c>
      <c r="DK57" s="217" t="s">
        <v>1149</v>
      </c>
      <c r="DM57" t="s">
        <v>1138</v>
      </c>
      <c r="DN57" s="39">
        <v>15</v>
      </c>
      <c r="EJ57" t="s">
        <v>398</v>
      </c>
    </row>
    <row r="58" spans="1:140" ht="15" thickBot="1" x14ac:dyDescent="0.35">
      <c r="A58" s="384"/>
      <c r="B58" s="95"/>
      <c r="C58" s="74" t="s">
        <v>89</v>
      </c>
      <c r="D58" s="75"/>
      <c r="E58" s="79"/>
      <c r="F58" s="82" t="s">
        <v>133</v>
      </c>
      <c r="G58" s="51"/>
      <c r="H58" s="51"/>
      <c r="I58" s="51"/>
      <c r="J58" s="332"/>
      <c r="K58" s="332"/>
      <c r="L58" s="332"/>
      <c r="M58" s="332"/>
      <c r="N58" s="363"/>
      <c r="O58" s="362"/>
      <c r="P58" s="317"/>
      <c r="Q58" s="170"/>
      <c r="R58" s="51"/>
      <c r="S58" s="51"/>
      <c r="T58" s="53"/>
      <c r="U58" s="368"/>
      <c r="V58" s="53"/>
      <c r="W58" s="53"/>
      <c r="X58" s="53"/>
      <c r="Y58" s="53"/>
      <c r="Z58" s="53"/>
      <c r="AA58" s="53"/>
      <c r="AB58" s="53"/>
      <c r="AC58" s="53"/>
      <c r="AD58"/>
      <c r="AG58" s="70" t="str">
        <f t="shared" si="28"/>
        <v/>
      </c>
      <c r="AK58" t="s">
        <v>213</v>
      </c>
      <c r="AL58" s="9">
        <f t="shared" si="78"/>
        <v>0</v>
      </c>
      <c r="AM58" s="16" t="b">
        <f t="shared" si="30"/>
        <v>0</v>
      </c>
      <c r="AN58" s="16">
        <f t="shared" si="79"/>
        <v>0</v>
      </c>
      <c r="AO58" s="3" t="s">
        <v>353</v>
      </c>
      <c r="AP58" s="24">
        <v>874</v>
      </c>
      <c r="AS58" s="11" t="s">
        <v>133</v>
      </c>
      <c r="AT58" s="4"/>
      <c r="AU58" s="4"/>
      <c r="AY58" s="20" t="s">
        <v>200</v>
      </c>
      <c r="AZ58" s="13">
        <f>IF(K52="",0,1)</f>
        <v>0</v>
      </c>
      <c r="BA58" s="18" t="s">
        <v>1238</v>
      </c>
      <c r="BB58" s="18"/>
      <c r="BC58" s="3"/>
      <c r="BD58" s="3"/>
      <c r="BE58" s="13">
        <f t="shared" si="87"/>
        <v>0</v>
      </c>
      <c r="BF58" s="236" t="s">
        <v>1243</v>
      </c>
      <c r="BN58" s="33"/>
      <c r="BO58" s="33"/>
      <c r="BP58" s="2">
        <f t="shared" si="64"/>
        <v>0</v>
      </c>
      <c r="BQ58">
        <f t="shared" si="71"/>
        <v>0</v>
      </c>
      <c r="BR58" s="42">
        <f t="shared" si="65"/>
        <v>0</v>
      </c>
      <c r="BS58" s="42">
        <f t="shared" si="59"/>
        <v>0</v>
      </c>
      <c r="BV58">
        <f t="shared" si="82"/>
        <v>0</v>
      </c>
      <c r="BW58" s="42">
        <f t="shared" si="83"/>
        <v>0</v>
      </c>
      <c r="BX58" s="42"/>
      <c r="BY58">
        <f t="shared" si="21"/>
        <v>0</v>
      </c>
      <c r="CA58" s="104" t="s">
        <v>420</v>
      </c>
      <c r="CB58" s="106"/>
      <c r="CD58" s="131">
        <f>+AZ16</f>
        <v>0</v>
      </c>
      <c r="CE58" s="134" t="s">
        <v>430</v>
      </c>
      <c r="CG58" s="120">
        <f t="shared" si="76"/>
        <v>0</v>
      </c>
      <c r="CH58" s="374" t="s">
        <v>1249</v>
      </c>
      <c r="CJ58" s="120" t="s">
        <v>1196</v>
      </c>
      <c r="CK58" s="122"/>
      <c r="CM58" s="120">
        <f>+AL61</f>
        <v>0</v>
      </c>
      <c r="CN58" s="138" t="s">
        <v>375</v>
      </c>
      <c r="CO58" s="121"/>
      <c r="CP58" s="123"/>
      <c r="CQ58" s="139"/>
      <c r="CS58" s="325">
        <f>AL6</f>
        <v>0</v>
      </c>
      <c r="CT58" s="122" t="s">
        <v>1113</v>
      </c>
      <c r="CV58" s="3" t="s">
        <v>353</v>
      </c>
      <c r="CW58">
        <f t="shared" si="80"/>
        <v>0</v>
      </c>
      <c r="CX58" s="42" t="str">
        <f>IF(BD16=1,"LTS845","LT845")</f>
        <v>LT845</v>
      </c>
      <c r="CY58" t="e">
        <f t="shared" si="72"/>
        <v>#N/A</v>
      </c>
      <c r="CZ58" t="e">
        <f t="shared" si="73"/>
        <v>#N/A</v>
      </c>
      <c r="DA58" t="e">
        <f t="shared" si="67"/>
        <v>#N/A</v>
      </c>
      <c r="DB58" s="38" t="e">
        <f t="shared" si="68"/>
        <v>#N/A</v>
      </c>
      <c r="DC58" t="str">
        <f t="shared" si="84"/>
        <v>R</v>
      </c>
      <c r="DD58" t="str">
        <f t="shared" si="70"/>
        <v xml:space="preserve"> Cstm  </v>
      </c>
      <c r="DE58" t="e">
        <f t="shared" si="74"/>
        <v>#N/A</v>
      </c>
      <c r="DF58" t="b">
        <f t="shared" si="77"/>
        <v>1</v>
      </c>
      <c r="DG58" s="162" t="str">
        <f t="shared" si="75"/>
        <v/>
      </c>
      <c r="DK58" s="217" t="s">
        <v>1150</v>
      </c>
      <c r="DM58" t="s">
        <v>1139</v>
      </c>
      <c r="DN58" s="39">
        <v>15</v>
      </c>
      <c r="EJ58" t="s">
        <v>398</v>
      </c>
    </row>
    <row r="59" spans="1:140" x14ac:dyDescent="0.3">
      <c r="A59" s="384"/>
      <c r="B59" s="95"/>
      <c r="C59" s="74" t="s">
        <v>90</v>
      </c>
      <c r="D59" s="75"/>
      <c r="E59" s="79"/>
      <c r="F59" s="95"/>
      <c r="G59" s="337" t="s">
        <v>1131</v>
      </c>
      <c r="H59" s="51"/>
      <c r="I59" s="51"/>
      <c r="J59" s="332"/>
      <c r="K59" s="332"/>
      <c r="L59" s="332"/>
      <c r="M59" s="332"/>
      <c r="N59" s="332"/>
      <c r="O59" s="266"/>
      <c r="P59" s="317"/>
      <c r="Q59" s="170"/>
      <c r="R59" s="51"/>
      <c r="S59" s="51"/>
      <c r="T59" s="53"/>
      <c r="U59" s="368"/>
      <c r="V59" s="53"/>
      <c r="W59" s="53"/>
      <c r="X59" s="53"/>
      <c r="Y59" s="53"/>
      <c r="Z59" s="53"/>
      <c r="AA59" s="53"/>
      <c r="AB59" s="53"/>
      <c r="AC59" s="53"/>
      <c r="AD59"/>
      <c r="AG59" s="70" t="str">
        <f t="shared" si="28"/>
        <v/>
      </c>
      <c r="AK59" t="s">
        <v>213</v>
      </c>
      <c r="AL59" s="9">
        <f t="shared" si="78"/>
        <v>0</v>
      </c>
      <c r="AM59" s="16" t="b">
        <f t="shared" si="30"/>
        <v>0</v>
      </c>
      <c r="AN59" s="16">
        <f t="shared" si="79"/>
        <v>0</v>
      </c>
      <c r="AO59" s="3" t="s">
        <v>355</v>
      </c>
      <c r="AP59" s="24">
        <v>874</v>
      </c>
      <c r="AR59" s="9">
        <f t="shared" ref="AR59:AR73" si="88">IF(F59="",0,1)</f>
        <v>0</v>
      </c>
      <c r="AS59" s="3" t="s">
        <v>1131</v>
      </c>
      <c r="AT59" s="35">
        <f t="shared" ref="AT59:AT64" si="89">AR59*DN62</f>
        <v>0</v>
      </c>
      <c r="AU59" s="4"/>
      <c r="AY59" s="20"/>
      <c r="AZ59" s="13">
        <f>IF(K53="",0,1)</f>
        <v>0</v>
      </c>
      <c r="BA59" s="18" t="s">
        <v>1239</v>
      </c>
      <c r="BB59" s="18"/>
      <c r="BC59" s="3"/>
      <c r="BD59" s="3"/>
      <c r="BE59" s="17"/>
      <c r="BF59" s="236"/>
      <c r="BN59" s="33"/>
      <c r="BO59" s="33"/>
      <c r="BP59" s="2">
        <f t="shared" si="64"/>
        <v>0</v>
      </c>
      <c r="BQ59">
        <f t="shared" si="71"/>
        <v>0</v>
      </c>
      <c r="BR59" s="42">
        <f t="shared" si="65"/>
        <v>0</v>
      </c>
      <c r="BS59" s="42">
        <f t="shared" si="59"/>
        <v>0</v>
      </c>
      <c r="BV59">
        <f t="shared" si="82"/>
        <v>0</v>
      </c>
      <c r="BW59" s="42">
        <f t="shared" si="83"/>
        <v>0</v>
      </c>
      <c r="BX59" s="42"/>
      <c r="BY59">
        <f t="shared" si="21"/>
        <v>0</v>
      </c>
      <c r="CA59" s="90">
        <f>+BH26</f>
        <v>0</v>
      </c>
      <c r="CB59" s="105" t="s">
        <v>176</v>
      </c>
      <c r="CD59" s="131"/>
      <c r="CE59" s="132"/>
      <c r="CG59" s="120">
        <f t="shared" si="76"/>
        <v>0</v>
      </c>
      <c r="CH59" s="373" t="s">
        <v>331</v>
      </c>
      <c r="CJ59" s="120"/>
      <c r="CK59" s="122" t="s">
        <v>1102</v>
      </c>
      <c r="CM59" s="120">
        <f>+AL63</f>
        <v>0</v>
      </c>
      <c r="CN59" s="138" t="s">
        <v>377</v>
      </c>
      <c r="CO59" s="121"/>
      <c r="CP59" s="125"/>
      <c r="CQ59" s="126"/>
      <c r="CS59" s="325">
        <f>AL10</f>
        <v>0</v>
      </c>
      <c r="CT59" s="122" t="s">
        <v>1114</v>
      </c>
      <c r="CV59" s="3" t="s">
        <v>355</v>
      </c>
      <c r="CW59">
        <f t="shared" si="80"/>
        <v>0</v>
      </c>
      <c r="CX59" s="42" t="str">
        <f>IF(BD16=1,"LTS846","LT846")</f>
        <v>LT846</v>
      </c>
      <c r="CY59" t="e">
        <f t="shared" si="72"/>
        <v>#N/A</v>
      </c>
      <c r="CZ59" t="e">
        <f t="shared" si="73"/>
        <v>#N/A</v>
      </c>
      <c r="DA59" t="e">
        <f t="shared" si="67"/>
        <v>#N/A</v>
      </c>
      <c r="DB59" s="38" t="e">
        <f t="shared" si="68"/>
        <v>#N/A</v>
      </c>
      <c r="DC59" t="str">
        <f t="shared" si="84"/>
        <v>R</v>
      </c>
      <c r="DD59" t="str">
        <f t="shared" si="70"/>
        <v xml:space="preserve"> Cstm  </v>
      </c>
      <c r="DE59" t="e">
        <f t="shared" si="74"/>
        <v>#N/A</v>
      </c>
      <c r="DF59" t="b">
        <f t="shared" si="77"/>
        <v>1</v>
      </c>
      <c r="DG59" s="162" t="str">
        <f t="shared" si="75"/>
        <v/>
      </c>
      <c r="DK59" s="217" t="s">
        <v>1151</v>
      </c>
      <c r="DM59" t="s">
        <v>1140</v>
      </c>
      <c r="DN59" s="39">
        <v>0</v>
      </c>
      <c r="EJ59" t="s">
        <v>398</v>
      </c>
    </row>
    <row r="60" spans="1:140" ht="15" thickBot="1" x14ac:dyDescent="0.35">
      <c r="A60" s="385"/>
      <c r="B60" s="95"/>
      <c r="C60" s="76" t="s">
        <v>91</v>
      </c>
      <c r="D60" s="77"/>
      <c r="E60" s="79"/>
      <c r="F60" s="95"/>
      <c r="G60" s="337" t="s">
        <v>1132</v>
      </c>
      <c r="H60" s="51"/>
      <c r="I60" s="51"/>
      <c r="J60" s="334"/>
      <c r="K60" s="57" t="s">
        <v>288</v>
      </c>
      <c r="L60" s="51"/>
      <c r="M60" s="51"/>
      <c r="N60" s="51"/>
      <c r="O60" s="51"/>
      <c r="P60" s="317"/>
      <c r="Q60" s="170"/>
      <c r="R60" s="51"/>
      <c r="S60" s="51"/>
      <c r="T60" s="53"/>
      <c r="U60" s="55"/>
      <c r="V60" s="51"/>
      <c r="W60" s="51"/>
      <c r="X60" s="53"/>
      <c r="Y60" s="53"/>
      <c r="Z60" s="53"/>
      <c r="AA60" s="53"/>
      <c r="AB60" s="53"/>
      <c r="AC60" s="53"/>
      <c r="AD60"/>
      <c r="AE60" s="32"/>
      <c r="AF60" s="32"/>
      <c r="AG60" s="227" t="str">
        <f t="shared" si="28"/>
        <v/>
      </c>
      <c r="AH60" s="32"/>
      <c r="AI60" s="32"/>
      <c r="AJ60" s="32"/>
      <c r="AK60" s="32" t="s">
        <v>213</v>
      </c>
      <c r="AL60" s="9">
        <f t="shared" si="78"/>
        <v>0</v>
      </c>
      <c r="AM60" s="16" t="b">
        <f t="shared" si="30"/>
        <v>0</v>
      </c>
      <c r="AN60" s="34">
        <f t="shared" si="79"/>
        <v>0</v>
      </c>
      <c r="AO60" s="171" t="s">
        <v>357</v>
      </c>
      <c r="AP60" s="24">
        <v>874</v>
      </c>
      <c r="AR60" s="382">
        <f t="shared" si="88"/>
        <v>0</v>
      </c>
      <c r="AS60" s="3" t="s">
        <v>1132</v>
      </c>
      <c r="AT60" s="35">
        <f t="shared" si="89"/>
        <v>0</v>
      </c>
      <c r="AU60" s="28"/>
      <c r="AV60" s="14" t="s">
        <v>168</v>
      </c>
      <c r="AW60" s="11"/>
      <c r="AX60" s="3"/>
      <c r="AY60" s="20"/>
      <c r="AZ60" s="13">
        <f>IF(K54="",0,1)</f>
        <v>0</v>
      </c>
      <c r="BA60" s="18" t="s">
        <v>1240</v>
      </c>
      <c r="BB60" s="18"/>
      <c r="BC60" s="3"/>
      <c r="BD60" s="4" t="s">
        <v>200</v>
      </c>
      <c r="BE60" s="13">
        <f>IF(O55="",0,1)</f>
        <v>1</v>
      </c>
      <c r="BF60" s="318" t="s">
        <v>1239</v>
      </c>
      <c r="BN60" s="33"/>
      <c r="BO60" s="33"/>
      <c r="BP60" s="34">
        <f t="shared" si="64"/>
        <v>0</v>
      </c>
      <c r="BQ60">
        <f t="shared" si="71"/>
        <v>0</v>
      </c>
      <c r="BR60" s="48">
        <f t="shared" si="65"/>
        <v>0</v>
      </c>
      <c r="BS60" s="46">
        <f t="shared" si="59"/>
        <v>0</v>
      </c>
      <c r="BT60" s="32"/>
      <c r="BU60" s="32"/>
      <c r="BV60">
        <f t="shared" si="82"/>
        <v>0</v>
      </c>
      <c r="BW60" s="42">
        <f t="shared" si="83"/>
        <v>0</v>
      </c>
      <c r="BX60" s="42"/>
      <c r="BY60">
        <f t="shared" si="21"/>
        <v>0</v>
      </c>
      <c r="CA60" s="90">
        <f>+BH27</f>
        <v>0</v>
      </c>
      <c r="CB60" s="105" t="s">
        <v>177</v>
      </c>
      <c r="CD60" s="123">
        <f>IF(CD56*CD58&gt;0,1,0)</f>
        <v>0</v>
      </c>
      <c r="CE60" s="124" t="s">
        <v>431</v>
      </c>
      <c r="CG60" s="120">
        <f t="shared" si="76"/>
        <v>0</v>
      </c>
      <c r="CH60" s="373" t="s">
        <v>118</v>
      </c>
      <c r="CJ60" s="120">
        <f>+AL14</f>
        <v>0</v>
      </c>
      <c r="CK60" s="122" t="s">
        <v>342</v>
      </c>
      <c r="CM60" s="120">
        <f>+AL65</f>
        <v>0</v>
      </c>
      <c r="CN60" s="138" t="s">
        <v>379</v>
      </c>
      <c r="CO60" s="121"/>
      <c r="CS60" s="325">
        <f>AL15</f>
        <v>0</v>
      </c>
      <c r="CT60" s="122" t="s">
        <v>1115</v>
      </c>
      <c r="CV60" s="157" t="s">
        <v>357</v>
      </c>
      <c r="CW60" s="155">
        <f t="shared" si="80"/>
        <v>0</v>
      </c>
      <c r="CX60" s="155" t="str">
        <f>IF(BD16=1,"LTS866","LT866")</f>
        <v>LT866</v>
      </c>
      <c r="CY60" s="155" t="e">
        <f t="shared" si="72"/>
        <v>#N/A</v>
      </c>
      <c r="CZ60" s="155" t="e">
        <f t="shared" si="73"/>
        <v>#N/A</v>
      </c>
      <c r="DA60" s="155" t="e">
        <f t="shared" si="67"/>
        <v>#N/A</v>
      </c>
      <c r="DB60" s="168" t="e">
        <f t="shared" si="68"/>
        <v>#N/A</v>
      </c>
      <c r="DC60" s="155" t="str">
        <f t="shared" si="84"/>
        <v>R</v>
      </c>
      <c r="DD60" s="155" t="str">
        <f t="shared" si="70"/>
        <v xml:space="preserve"> Cstm  </v>
      </c>
      <c r="DE60" s="155" t="e">
        <f t="shared" si="74"/>
        <v>#N/A</v>
      </c>
      <c r="DF60" s="155" t="b">
        <f t="shared" si="77"/>
        <v>1</v>
      </c>
      <c r="DG60" s="313" t="str">
        <f t="shared" si="75"/>
        <v/>
      </c>
      <c r="DH60" s="155"/>
      <c r="DI60" s="311" t="str">
        <f>CONCATENATE(DG35,DG36,DG37,DG38,DG39,DG40,DG41,DG42,DG43,DG44,DG45,DG46,DG47,DG48,DG49,DG50,DG51,DG52,DG53,DG54,DG55,DG56,DG57,DG58,DG59,DG60)</f>
        <v/>
      </c>
      <c r="DK60" s="217"/>
      <c r="DN60" s="39"/>
      <c r="EJ60" t="s">
        <v>398</v>
      </c>
    </row>
    <row r="61" spans="1:140" ht="15.75" customHeight="1" x14ac:dyDescent="0.3">
      <c r="A61" s="383" t="s">
        <v>323</v>
      </c>
      <c r="B61" s="95"/>
      <c r="C61" s="72" t="s">
        <v>92</v>
      </c>
      <c r="D61" s="73"/>
      <c r="E61" s="52"/>
      <c r="F61" s="95"/>
      <c r="G61" s="337" t="s">
        <v>1133</v>
      </c>
      <c r="H61" s="51"/>
      <c r="I61" s="51"/>
      <c r="J61" s="334"/>
      <c r="K61" s="99"/>
      <c r="L61" s="54" t="s">
        <v>170</v>
      </c>
      <c r="M61" s="51"/>
      <c r="N61" s="60"/>
      <c r="O61" s="51"/>
      <c r="P61" s="317"/>
      <c r="Q61" s="170"/>
      <c r="R61" s="51"/>
      <c r="S61" s="51"/>
      <c r="T61" s="53"/>
      <c r="U61" s="368"/>
      <c r="V61" s="53"/>
      <c r="W61" s="53"/>
      <c r="X61" s="53"/>
      <c r="Y61" s="53"/>
      <c r="Z61" s="53"/>
      <c r="AA61" s="53"/>
      <c r="AB61" s="53"/>
      <c r="AC61" s="53"/>
      <c r="AD61"/>
      <c r="AG61" s="70" t="str">
        <f t="shared" si="28"/>
        <v/>
      </c>
      <c r="AK61" t="s">
        <v>214</v>
      </c>
      <c r="AL61" s="172">
        <f t="shared" si="78"/>
        <v>0</v>
      </c>
      <c r="AM61" s="16" t="b">
        <f t="shared" si="30"/>
        <v>0</v>
      </c>
      <c r="AN61" s="16">
        <f t="shared" si="79"/>
        <v>0</v>
      </c>
      <c r="AO61" s="3" t="s">
        <v>375</v>
      </c>
      <c r="AP61" s="24">
        <v>690</v>
      </c>
      <c r="AR61" s="9">
        <f t="shared" si="88"/>
        <v>0</v>
      </c>
      <c r="AS61" s="3" t="s">
        <v>1133</v>
      </c>
      <c r="AT61" s="35">
        <f t="shared" si="89"/>
        <v>0</v>
      </c>
      <c r="AV61" s="15">
        <f t="shared" ref="AV61:AV67" si="90">IF(K61="",0,1)</f>
        <v>0</v>
      </c>
      <c r="AW61" s="20"/>
      <c r="AX61" s="3" t="s">
        <v>170</v>
      </c>
      <c r="AY61" s="6"/>
      <c r="AZ61" s="17"/>
      <c r="BA61" s="18"/>
      <c r="BB61" s="18"/>
      <c r="BC61" s="3"/>
      <c r="BD61" s="3"/>
      <c r="BE61" s="17"/>
      <c r="BF61" s="7"/>
      <c r="BN61" s="33"/>
      <c r="BO61" s="33"/>
      <c r="BP61" s="2">
        <f t="shared" ref="BP61:BP69" si="91">+$BO$72</f>
        <v>0</v>
      </c>
      <c r="BQ61" s="42">
        <f>+$BH$4</f>
        <v>0</v>
      </c>
      <c r="BR61" s="42">
        <f>+$BE$51</f>
        <v>0</v>
      </c>
      <c r="BS61" s="42">
        <f>+$BJ$57</f>
        <v>0</v>
      </c>
      <c r="BT61">
        <f>+$BK$51</f>
        <v>0</v>
      </c>
      <c r="BU61">
        <f>+$BF$43</f>
        <v>0</v>
      </c>
      <c r="BV61">
        <f t="shared" ref="BV61:BV69" si="92">IF($AZ$16=1,$DN$12,0)</f>
        <v>0</v>
      </c>
      <c r="BW61" s="121">
        <f t="shared" ref="BW61:BW69" si="93">$AZ$51</f>
        <v>0</v>
      </c>
      <c r="BY61">
        <f t="shared" si="21"/>
        <v>0</v>
      </c>
      <c r="CA61" s="90">
        <f>+BH35</f>
        <v>0</v>
      </c>
      <c r="CB61" s="105" t="s">
        <v>183</v>
      </c>
      <c r="CD61" s="135"/>
      <c r="CE61" s="136"/>
      <c r="CG61" s="120">
        <f t="shared" si="76"/>
        <v>0</v>
      </c>
      <c r="CH61" s="373" t="s">
        <v>123</v>
      </c>
      <c r="CJ61" s="120">
        <f>+AL19</f>
        <v>0</v>
      </c>
      <c r="CK61" s="122" t="s">
        <v>346</v>
      </c>
      <c r="CM61" s="120">
        <f>+AL66</f>
        <v>0</v>
      </c>
      <c r="CN61" s="138" t="s">
        <v>380</v>
      </c>
      <c r="CO61" s="121"/>
      <c r="CP61" s="118"/>
      <c r="CQ61" s="119"/>
      <c r="CS61" s="325">
        <f>AL20</f>
        <v>0</v>
      </c>
      <c r="CT61" s="122" t="s">
        <v>1116</v>
      </c>
      <c r="CV61" s="3" t="s">
        <v>375</v>
      </c>
      <c r="CW61">
        <f t="shared" si="80"/>
        <v>0</v>
      </c>
      <c r="CX61" s="42" t="s">
        <v>537</v>
      </c>
      <c r="CY61" t="e">
        <f t="shared" si="72"/>
        <v>#N/A</v>
      </c>
      <c r="CZ61" t="e">
        <f t="shared" ref="CZ61:CZ69" si="94">IF($BE$42=1,CONCATENATE(VLOOKUP(1,$CV$73:$CW$76,2,FALSE),"D"),CONCATENATE(VLOOKUP(1,$CV$73:$CW$76,2,FALSE),"X"))</f>
        <v>#N/A</v>
      </c>
      <c r="DA61" t="e">
        <f t="shared" si="67"/>
        <v>#N/A</v>
      </c>
      <c r="DB61" t="str">
        <f t="shared" ref="DB61:DB69" si="95">IF($BD$47=1,"WM","")</f>
        <v/>
      </c>
      <c r="DC61" t="str">
        <f t="shared" ref="DC61:DC69" si="96">IF($AZ$16=1,"B","")</f>
        <v/>
      </c>
      <c r="DD61" t="s">
        <v>571</v>
      </c>
      <c r="DE61" t="e">
        <f t="shared" ref="DE61:DE69" si="97">CONCATENATE(CY61,CZ61,DA61,DB61,DC61,DD61)</f>
        <v>#N/A</v>
      </c>
      <c r="DF61" t="b">
        <f t="shared" si="77"/>
        <v>1</v>
      </c>
      <c r="DG61" s="162" t="str">
        <f t="shared" ref="DG61:DG69" si="98">IF(DF61=FALSE,DE61,"")</f>
        <v/>
      </c>
      <c r="DK61" s="217"/>
      <c r="DN61" s="39"/>
      <c r="EJ61" t="s">
        <v>398</v>
      </c>
    </row>
    <row r="62" spans="1:140" x14ac:dyDescent="0.3">
      <c r="A62" s="384"/>
      <c r="B62" s="95"/>
      <c r="C62" s="74" t="s">
        <v>93</v>
      </c>
      <c r="D62" s="75"/>
      <c r="E62" s="78"/>
      <c r="F62" s="95"/>
      <c r="G62" s="337" t="s">
        <v>1129</v>
      </c>
      <c r="H62" s="51"/>
      <c r="I62" s="51"/>
      <c r="J62" s="334"/>
      <c r="K62" s="99"/>
      <c r="L62" s="51" t="s">
        <v>171</v>
      </c>
      <c r="M62" s="51"/>
      <c r="N62" s="60"/>
      <c r="O62" s="52"/>
      <c r="P62" s="366"/>
      <c r="Q62" s="170"/>
      <c r="R62" s="51"/>
      <c r="S62" s="51"/>
      <c r="T62" s="53"/>
      <c r="U62" s="368"/>
      <c r="V62" s="53"/>
      <c r="W62" s="53"/>
      <c r="X62" s="53"/>
      <c r="Y62" s="53"/>
      <c r="Z62" s="53"/>
      <c r="AA62" s="53"/>
      <c r="AB62" s="53"/>
      <c r="AC62" s="53"/>
      <c r="AD62"/>
      <c r="AG62" s="70" t="str">
        <f t="shared" si="28"/>
        <v/>
      </c>
      <c r="AK62" t="s">
        <v>214</v>
      </c>
      <c r="AL62" s="9">
        <f t="shared" si="78"/>
        <v>0</v>
      </c>
      <c r="AM62" s="16" t="b">
        <f t="shared" si="30"/>
        <v>0</v>
      </c>
      <c r="AN62" s="16">
        <f t="shared" si="79"/>
        <v>0</v>
      </c>
      <c r="AO62" s="3" t="s">
        <v>572</v>
      </c>
      <c r="AP62" s="24">
        <v>695</v>
      </c>
      <c r="AR62" s="9">
        <f t="shared" si="88"/>
        <v>0</v>
      </c>
      <c r="AS62" s="18" t="s">
        <v>1129</v>
      </c>
      <c r="AT62" s="35">
        <f t="shared" si="89"/>
        <v>0</v>
      </c>
      <c r="AV62" s="15">
        <f t="shared" si="90"/>
        <v>0</v>
      </c>
      <c r="AW62" s="20"/>
      <c r="AX62" s="3" t="s">
        <v>171</v>
      </c>
      <c r="AY62" s="20" t="s">
        <v>42</v>
      </c>
      <c r="AZ62" s="13">
        <f>IF(K56="",0,1)</f>
        <v>0</v>
      </c>
      <c r="BA62" s="18" t="s">
        <v>202</v>
      </c>
      <c r="BB62" s="18"/>
      <c r="BC62" s="3"/>
      <c r="BE62" s="121"/>
      <c r="BN62" s="33"/>
      <c r="BO62" s="33"/>
      <c r="BP62" s="2">
        <f t="shared" si="91"/>
        <v>0</v>
      </c>
      <c r="BQ62" s="42">
        <f>+$BH$4</f>
        <v>0</v>
      </c>
      <c r="BR62" s="42">
        <f t="shared" ref="BR62:BR69" si="99">+$BE$51</f>
        <v>0</v>
      </c>
      <c r="BS62" s="42">
        <f t="shared" ref="BS62:BS69" si="100">+$BJ$57</f>
        <v>0</v>
      </c>
      <c r="BT62">
        <f t="shared" ref="BT62:BT69" si="101">+$BK$51</f>
        <v>0</v>
      </c>
      <c r="BU62">
        <f t="shared" ref="BU62:BU69" si="102">+$BF$43</f>
        <v>0</v>
      </c>
      <c r="BV62">
        <f t="shared" si="92"/>
        <v>0</v>
      </c>
      <c r="BW62" s="121">
        <f t="shared" si="93"/>
        <v>0</v>
      </c>
      <c r="BY62">
        <f t="shared" si="21"/>
        <v>0</v>
      </c>
      <c r="CA62" s="90">
        <f>SUM(CA59:CA61)</f>
        <v>0</v>
      </c>
      <c r="CB62" s="105" t="s">
        <v>412</v>
      </c>
      <c r="CG62" s="120">
        <f t="shared" si="76"/>
        <v>0</v>
      </c>
      <c r="CH62" s="375" t="s">
        <v>1250</v>
      </c>
      <c r="CJ62" s="120">
        <f>IF(SUM(CJ59:CJ61)&gt;0,1,0)</f>
        <v>0</v>
      </c>
      <c r="CK62" s="122" t="s">
        <v>1103</v>
      </c>
      <c r="CM62" s="120">
        <f>+AL67</f>
        <v>0</v>
      </c>
      <c r="CN62" s="138" t="s">
        <v>381</v>
      </c>
      <c r="CO62" s="121"/>
      <c r="CP62" s="120"/>
      <c r="CQ62" s="122"/>
      <c r="CS62" s="120"/>
      <c r="CT62" s="122"/>
      <c r="CV62" s="3" t="s">
        <v>376</v>
      </c>
      <c r="CW62">
        <f t="shared" si="80"/>
        <v>0</v>
      </c>
      <c r="CX62" s="42" t="s">
        <v>538</v>
      </c>
      <c r="CY62" t="e">
        <f t="shared" si="72"/>
        <v>#N/A</v>
      </c>
      <c r="CZ62" t="e">
        <f t="shared" si="94"/>
        <v>#N/A</v>
      </c>
      <c r="DA62" t="e">
        <f t="shared" si="67"/>
        <v>#N/A</v>
      </c>
      <c r="DB62" t="str">
        <f t="shared" si="95"/>
        <v/>
      </c>
      <c r="DC62" t="str">
        <f t="shared" si="96"/>
        <v/>
      </c>
      <c r="DD62" t="s">
        <v>571</v>
      </c>
      <c r="DE62" t="e">
        <f t="shared" si="97"/>
        <v>#N/A</v>
      </c>
      <c r="DF62" t="b">
        <f t="shared" si="77"/>
        <v>1</v>
      </c>
      <c r="DG62" s="162" t="str">
        <f t="shared" si="98"/>
        <v/>
      </c>
      <c r="DK62" s="217"/>
      <c r="DM62" s="3" t="s">
        <v>1131</v>
      </c>
      <c r="DN62" s="39">
        <v>0</v>
      </c>
      <c r="EJ62" t="s">
        <v>398</v>
      </c>
    </row>
    <row r="63" spans="1:140" x14ac:dyDescent="0.3">
      <c r="A63" s="384"/>
      <c r="B63" s="95"/>
      <c r="C63" s="74" t="s">
        <v>94</v>
      </c>
      <c r="D63" s="75"/>
      <c r="E63" s="52"/>
      <c r="F63" s="95"/>
      <c r="G63" s="74" t="s">
        <v>215</v>
      </c>
      <c r="H63" s="51"/>
      <c r="I63" s="51"/>
      <c r="J63" s="334"/>
      <c r="K63" s="99"/>
      <c r="L63" s="51" t="s">
        <v>172</v>
      </c>
      <c r="M63" s="51"/>
      <c r="N63" s="60"/>
      <c r="O63" s="52"/>
      <c r="P63" s="267"/>
      <c r="Q63" s="170"/>
      <c r="R63" s="51"/>
      <c r="S63" s="51"/>
      <c r="T63" s="53"/>
      <c r="U63" s="368"/>
      <c r="V63" s="53"/>
      <c r="W63" s="53"/>
      <c r="X63" s="53"/>
      <c r="Y63" s="53"/>
      <c r="Z63" s="53"/>
      <c r="AA63" s="53"/>
      <c r="AB63" s="53"/>
      <c r="AC63" s="53"/>
      <c r="AD63"/>
      <c r="AG63" s="70" t="str">
        <f t="shared" si="28"/>
        <v/>
      </c>
      <c r="AK63" t="s">
        <v>214</v>
      </c>
      <c r="AL63" s="9">
        <f t="shared" si="78"/>
        <v>0</v>
      </c>
      <c r="AM63" s="16" t="b">
        <f t="shared" si="30"/>
        <v>0</v>
      </c>
      <c r="AN63" s="16">
        <f t="shared" si="79"/>
        <v>0</v>
      </c>
      <c r="AO63" s="3" t="s">
        <v>377</v>
      </c>
      <c r="AP63" s="24">
        <v>706</v>
      </c>
      <c r="AR63" s="9">
        <f t="shared" si="88"/>
        <v>0</v>
      </c>
      <c r="AS63" s="3" t="s">
        <v>215</v>
      </c>
      <c r="AT63" s="35">
        <f t="shared" si="89"/>
        <v>0</v>
      </c>
      <c r="AV63" s="15">
        <f t="shared" si="90"/>
        <v>0</v>
      </c>
      <c r="AW63" s="20"/>
      <c r="AX63" s="3" t="s">
        <v>172</v>
      </c>
      <c r="AY63" s="6"/>
      <c r="AZ63" s="13">
        <f>IF(K57="",0,1)</f>
        <v>0</v>
      </c>
      <c r="BA63" s="18" t="s">
        <v>201</v>
      </c>
      <c r="BB63" s="18"/>
      <c r="BC63" s="3"/>
      <c r="BD63" s="4"/>
      <c r="BE63" s="17"/>
      <c r="BF63" s="7"/>
      <c r="BN63" s="33"/>
      <c r="BO63" s="33"/>
      <c r="BP63" s="2">
        <f t="shared" si="91"/>
        <v>0</v>
      </c>
      <c r="BQ63" s="42">
        <f>+$BH$4</f>
        <v>0</v>
      </c>
      <c r="BR63" s="42">
        <f t="shared" si="99"/>
        <v>0</v>
      </c>
      <c r="BS63" s="42">
        <f t="shared" si="100"/>
        <v>0</v>
      </c>
      <c r="BT63">
        <f t="shared" si="101"/>
        <v>0</v>
      </c>
      <c r="BU63">
        <f t="shared" si="102"/>
        <v>0</v>
      </c>
      <c r="BV63">
        <f t="shared" si="92"/>
        <v>0</v>
      </c>
      <c r="BW63" s="121">
        <f t="shared" si="93"/>
        <v>0</v>
      </c>
      <c r="BY63">
        <f t="shared" si="21"/>
        <v>0</v>
      </c>
      <c r="CG63" s="120">
        <f t="shared" si="76"/>
        <v>0</v>
      </c>
      <c r="CH63" s="375" t="s">
        <v>1250</v>
      </c>
      <c r="CJ63" s="120">
        <f>+BC5</f>
        <v>0</v>
      </c>
      <c r="CK63" s="122" t="s">
        <v>1104</v>
      </c>
      <c r="CM63" s="120">
        <f>+AL68</f>
        <v>0</v>
      </c>
      <c r="CN63" s="138" t="s">
        <v>382</v>
      </c>
      <c r="CO63" s="121"/>
      <c r="CP63" s="120"/>
      <c r="CQ63" s="122"/>
      <c r="CS63" s="325">
        <f>SUM(CS57:CS62)</f>
        <v>0</v>
      </c>
      <c r="CT63" s="122" t="s">
        <v>1161</v>
      </c>
      <c r="CV63" s="3" t="s">
        <v>377</v>
      </c>
      <c r="CW63">
        <f t="shared" si="80"/>
        <v>0</v>
      </c>
      <c r="CX63" s="42" t="s">
        <v>539</v>
      </c>
      <c r="CY63" t="e">
        <f t="shared" si="72"/>
        <v>#N/A</v>
      </c>
      <c r="CZ63" t="e">
        <f t="shared" si="94"/>
        <v>#N/A</v>
      </c>
      <c r="DA63" t="e">
        <f t="shared" si="67"/>
        <v>#N/A</v>
      </c>
      <c r="DB63" t="str">
        <f t="shared" si="95"/>
        <v/>
      </c>
      <c r="DC63" t="str">
        <f t="shared" si="96"/>
        <v/>
      </c>
      <c r="DD63" t="s">
        <v>571</v>
      </c>
      <c r="DE63" t="e">
        <f t="shared" si="97"/>
        <v>#N/A</v>
      </c>
      <c r="DF63" t="b">
        <f t="shared" si="77"/>
        <v>1</v>
      </c>
      <c r="DG63" s="162" t="str">
        <f t="shared" si="98"/>
        <v/>
      </c>
      <c r="DM63" s="3" t="s">
        <v>1132</v>
      </c>
      <c r="DN63" s="39">
        <v>0</v>
      </c>
      <c r="EJ63" t="s">
        <v>398</v>
      </c>
    </row>
    <row r="64" spans="1:140" x14ac:dyDescent="0.3">
      <c r="A64" s="384"/>
      <c r="B64" s="95"/>
      <c r="C64" s="74" t="s">
        <v>95</v>
      </c>
      <c r="D64" s="75"/>
      <c r="E64" s="52"/>
      <c r="F64" s="95"/>
      <c r="G64" s="74" t="s">
        <v>216</v>
      </c>
      <c r="H64" s="51"/>
      <c r="I64" s="51"/>
      <c r="J64" s="334"/>
      <c r="K64" s="99"/>
      <c r="L64" s="51" t="s">
        <v>35</v>
      </c>
      <c r="M64" s="51"/>
      <c r="N64" s="60"/>
      <c r="O64" s="52"/>
      <c r="P64" s="267"/>
      <c r="Q64" s="267"/>
      <c r="R64" s="267"/>
      <c r="S64" s="51"/>
      <c r="T64" s="53"/>
      <c r="U64" s="368"/>
      <c r="V64" s="53"/>
      <c r="W64" s="53"/>
      <c r="X64" s="53"/>
      <c r="Y64" s="53"/>
      <c r="Z64" s="53"/>
      <c r="AA64" s="53"/>
      <c r="AB64" s="53"/>
      <c r="AC64" s="53"/>
      <c r="AD64"/>
      <c r="AG64" s="70" t="str">
        <f t="shared" si="28"/>
        <v/>
      </c>
      <c r="AK64" t="s">
        <v>214</v>
      </c>
      <c r="AL64" s="9">
        <f t="shared" si="78"/>
        <v>0</v>
      </c>
      <c r="AM64" s="16" t="b">
        <f t="shared" si="30"/>
        <v>0</v>
      </c>
      <c r="AN64" s="16">
        <f t="shared" si="79"/>
        <v>0</v>
      </c>
      <c r="AO64" s="3" t="s">
        <v>573</v>
      </c>
      <c r="AP64" s="24">
        <v>706</v>
      </c>
      <c r="AR64" s="382">
        <f t="shared" si="88"/>
        <v>0</v>
      </c>
      <c r="AS64" s="3" t="s">
        <v>216</v>
      </c>
      <c r="AT64" s="35">
        <f t="shared" si="89"/>
        <v>0</v>
      </c>
      <c r="AV64" s="15">
        <f t="shared" si="90"/>
        <v>0</v>
      </c>
      <c r="AW64" s="45">
        <f>+AV64*DN31</f>
        <v>0</v>
      </c>
      <c r="AX64" s="3" t="s">
        <v>35</v>
      </c>
      <c r="AY64" s="121"/>
      <c r="AZ64" s="121"/>
      <c r="BA64" s="42"/>
      <c r="BB64" s="18"/>
      <c r="BC64" s="3"/>
      <c r="BD64" s="3"/>
      <c r="BE64" s="17"/>
      <c r="BF64" s="7"/>
      <c r="BN64" s="33"/>
      <c r="BO64" s="33"/>
      <c r="BP64" s="2">
        <f t="shared" si="91"/>
        <v>0</v>
      </c>
      <c r="BQ64" s="42">
        <f>+$BH$4</f>
        <v>0</v>
      </c>
      <c r="BR64" s="42">
        <f t="shared" si="99"/>
        <v>0</v>
      </c>
      <c r="BS64" s="42">
        <f t="shared" si="100"/>
        <v>0</v>
      </c>
      <c r="BT64">
        <f t="shared" si="101"/>
        <v>0</v>
      </c>
      <c r="BU64">
        <f t="shared" si="102"/>
        <v>0</v>
      </c>
      <c r="BV64">
        <f t="shared" si="92"/>
        <v>0</v>
      </c>
      <c r="BW64" s="121">
        <f t="shared" si="93"/>
        <v>0</v>
      </c>
      <c r="BY64">
        <f t="shared" si="21"/>
        <v>0</v>
      </c>
      <c r="CA64" s="90">
        <f>IF(OR(CA56&gt;1,CA62&gt;1)=TRUE,1,0)</f>
        <v>0</v>
      </c>
      <c r="CB64" s="105" t="s">
        <v>421</v>
      </c>
      <c r="CG64" s="120">
        <f t="shared" si="76"/>
        <v>0</v>
      </c>
      <c r="CH64" s="375" t="s">
        <v>1250</v>
      </c>
      <c r="CM64" s="120">
        <f>+AL69</f>
        <v>0</v>
      </c>
      <c r="CN64" s="138" t="s">
        <v>383</v>
      </c>
      <c r="CO64" s="121"/>
      <c r="CP64" s="120"/>
      <c r="CQ64" s="122"/>
      <c r="CS64" s="325">
        <f>BH14</f>
        <v>0</v>
      </c>
      <c r="CT64" s="122" t="s">
        <v>1162</v>
      </c>
      <c r="CV64" s="3" t="s">
        <v>378</v>
      </c>
      <c r="CW64">
        <f t="shared" si="80"/>
        <v>0</v>
      </c>
      <c r="CX64" s="42" t="s">
        <v>540</v>
      </c>
      <c r="CY64" t="e">
        <f t="shared" si="72"/>
        <v>#N/A</v>
      </c>
      <c r="CZ64" t="e">
        <f t="shared" si="94"/>
        <v>#N/A</v>
      </c>
      <c r="DA64" t="e">
        <f t="shared" si="67"/>
        <v>#N/A</v>
      </c>
      <c r="DB64" t="str">
        <f t="shared" si="95"/>
        <v/>
      </c>
      <c r="DC64" t="str">
        <f t="shared" si="96"/>
        <v/>
      </c>
      <c r="DD64" t="s">
        <v>571</v>
      </c>
      <c r="DE64" t="e">
        <f t="shared" si="97"/>
        <v>#N/A</v>
      </c>
      <c r="DF64" t="b">
        <f t="shared" si="77"/>
        <v>1</v>
      </c>
      <c r="DG64" s="162" t="str">
        <f t="shared" si="98"/>
        <v/>
      </c>
      <c r="DM64" s="3" t="s">
        <v>1133</v>
      </c>
      <c r="DN64" s="39">
        <v>0</v>
      </c>
      <c r="EJ64" t="s">
        <v>398</v>
      </c>
    </row>
    <row r="65" spans="1:140" x14ac:dyDescent="0.3">
      <c r="A65" s="384"/>
      <c r="B65" s="95"/>
      <c r="C65" s="74" t="s">
        <v>96</v>
      </c>
      <c r="D65" s="75"/>
      <c r="E65" s="52"/>
      <c r="F65" s="95"/>
      <c r="G65" s="74" t="s">
        <v>135</v>
      </c>
      <c r="H65" s="51"/>
      <c r="I65" s="51"/>
      <c r="J65" s="332"/>
      <c r="K65" s="99"/>
      <c r="L65" s="51" t="s">
        <v>36</v>
      </c>
      <c r="M65" s="51"/>
      <c r="N65" s="60"/>
      <c r="O65" s="52"/>
      <c r="P65" s="267"/>
      <c r="Q65" s="267"/>
      <c r="R65" s="267"/>
      <c r="S65" s="51"/>
      <c r="T65" s="53"/>
      <c r="U65" s="368"/>
      <c r="V65" s="53"/>
      <c r="W65" s="53"/>
      <c r="X65" s="53"/>
      <c r="Y65" s="53"/>
      <c r="Z65" s="53"/>
      <c r="AA65" s="53"/>
      <c r="AB65" s="53"/>
      <c r="AC65" s="53"/>
      <c r="AD65"/>
      <c r="AG65" s="70" t="str">
        <f t="shared" si="28"/>
        <v/>
      </c>
      <c r="AK65" t="s">
        <v>214</v>
      </c>
      <c r="AL65" s="9">
        <f t="shared" si="78"/>
        <v>0</v>
      </c>
      <c r="AM65" s="16" t="b">
        <f t="shared" si="30"/>
        <v>0</v>
      </c>
      <c r="AN65" s="16">
        <f t="shared" si="79"/>
        <v>0</v>
      </c>
      <c r="AO65" s="3" t="s">
        <v>379</v>
      </c>
      <c r="AP65" s="24">
        <v>725</v>
      </c>
      <c r="AR65" s="9">
        <f t="shared" si="88"/>
        <v>0</v>
      </c>
      <c r="AS65" s="3" t="s">
        <v>135</v>
      </c>
      <c r="AT65" s="35">
        <f t="shared" ref="AT65:AT73" si="103">AR65*DN68</f>
        <v>0</v>
      </c>
      <c r="AV65" s="15">
        <f t="shared" si="90"/>
        <v>0</v>
      </c>
      <c r="AW65" s="45">
        <f>+AV65*DN31</f>
        <v>0</v>
      </c>
      <c r="AX65" s="3" t="s">
        <v>36</v>
      </c>
      <c r="AZ65" s="121"/>
      <c r="BB65" s="3"/>
      <c r="BC65" s="3"/>
      <c r="BE65" s="17"/>
      <c r="BF65" s="7"/>
      <c r="BN65" s="33"/>
      <c r="BO65" s="33"/>
      <c r="BP65" s="2">
        <f t="shared" si="91"/>
        <v>0</v>
      </c>
      <c r="BQ65" s="42">
        <f t="shared" ref="BQ65:BQ69" si="104">+$BH$4</f>
        <v>0</v>
      </c>
      <c r="BR65" s="42">
        <f t="shared" si="99"/>
        <v>0</v>
      </c>
      <c r="BS65" s="42">
        <f t="shared" si="100"/>
        <v>0</v>
      </c>
      <c r="BT65">
        <f t="shared" si="101"/>
        <v>0</v>
      </c>
      <c r="BU65">
        <f t="shared" si="102"/>
        <v>0</v>
      </c>
      <c r="BV65">
        <f t="shared" si="92"/>
        <v>0</v>
      </c>
      <c r="BW65" s="121">
        <f t="shared" si="93"/>
        <v>0</v>
      </c>
      <c r="BY65">
        <f t="shared" si="21"/>
        <v>0</v>
      </c>
      <c r="CG65" s="120">
        <f t="shared" si="76"/>
        <v>0</v>
      </c>
      <c r="CH65" s="376"/>
      <c r="CJ65" s="123">
        <f>+CJ63*CJ62</f>
        <v>0</v>
      </c>
      <c r="CK65" s="124" t="s">
        <v>1197</v>
      </c>
      <c r="CM65" s="120">
        <f>SUM(CM58:CM64)</f>
        <v>0</v>
      </c>
      <c r="CN65" s="138" t="s">
        <v>449</v>
      </c>
      <c r="CO65" s="121"/>
      <c r="CP65" s="120"/>
      <c r="CQ65" s="122"/>
      <c r="CS65" s="326">
        <f>+CS64*CS63</f>
        <v>0</v>
      </c>
      <c r="CT65" s="124" t="s">
        <v>452</v>
      </c>
      <c r="CV65" s="3" t="s">
        <v>379</v>
      </c>
      <c r="CW65">
        <f t="shared" si="80"/>
        <v>0</v>
      </c>
      <c r="CX65" s="42" t="s">
        <v>541</v>
      </c>
      <c r="CY65" t="e">
        <f t="shared" si="72"/>
        <v>#N/A</v>
      </c>
      <c r="CZ65" t="e">
        <f t="shared" si="94"/>
        <v>#N/A</v>
      </c>
      <c r="DA65" t="e">
        <f t="shared" si="67"/>
        <v>#N/A</v>
      </c>
      <c r="DB65" t="str">
        <f t="shared" si="95"/>
        <v/>
      </c>
      <c r="DC65" t="str">
        <f t="shared" si="96"/>
        <v/>
      </c>
      <c r="DD65" t="s">
        <v>571</v>
      </c>
      <c r="DE65" t="e">
        <f t="shared" si="97"/>
        <v>#N/A</v>
      </c>
      <c r="DF65" t="b">
        <f t="shared" si="77"/>
        <v>1</v>
      </c>
      <c r="DG65" s="162" t="str">
        <f t="shared" si="98"/>
        <v/>
      </c>
      <c r="DM65" s="18" t="s">
        <v>1129</v>
      </c>
      <c r="DN65" s="39">
        <v>0</v>
      </c>
      <c r="EJ65" t="s">
        <v>398</v>
      </c>
    </row>
    <row r="66" spans="1:140" x14ac:dyDescent="0.3">
      <c r="A66" s="384"/>
      <c r="B66" s="95"/>
      <c r="C66" s="74" t="s">
        <v>97</v>
      </c>
      <c r="D66" s="75"/>
      <c r="E66" s="52"/>
      <c r="F66" s="99"/>
      <c r="G66" s="74" t="s">
        <v>136</v>
      </c>
      <c r="H66" s="51"/>
      <c r="I66" s="51"/>
      <c r="J66" s="170"/>
      <c r="K66" s="99"/>
      <c r="L66" s="51" t="s">
        <v>37</v>
      </c>
      <c r="M66" s="51"/>
      <c r="N66" s="51"/>
      <c r="O66" s="51"/>
      <c r="P66" s="267"/>
      <c r="Q66" s="267"/>
      <c r="R66" s="267"/>
      <c r="S66" s="51"/>
      <c r="T66" s="53"/>
      <c r="U66" s="53"/>
      <c r="V66" s="53"/>
      <c r="W66" s="53"/>
      <c r="X66" s="53"/>
      <c r="Y66" s="53"/>
      <c r="Z66" s="53"/>
      <c r="AA66" s="53"/>
      <c r="AB66" s="53"/>
      <c r="AC66" s="53"/>
      <c r="AD66"/>
      <c r="AG66" s="70" t="str">
        <f t="shared" si="28"/>
        <v/>
      </c>
      <c r="AK66" t="s">
        <v>214</v>
      </c>
      <c r="AL66" s="9">
        <f t="shared" si="78"/>
        <v>0</v>
      </c>
      <c r="AM66" s="16" t="b">
        <f t="shared" si="30"/>
        <v>0</v>
      </c>
      <c r="AN66" s="16">
        <f t="shared" si="79"/>
        <v>0</v>
      </c>
      <c r="AO66" s="3" t="s">
        <v>574</v>
      </c>
      <c r="AP66" s="24">
        <v>750</v>
      </c>
      <c r="AR66" s="9">
        <f t="shared" si="88"/>
        <v>0</v>
      </c>
      <c r="AS66" s="3" t="s">
        <v>136</v>
      </c>
      <c r="AT66" s="35">
        <f t="shared" si="103"/>
        <v>0</v>
      </c>
      <c r="AV66" s="15">
        <f t="shared" si="90"/>
        <v>0</v>
      </c>
      <c r="AW66" s="45">
        <f>+AV66*DN31</f>
        <v>0</v>
      </c>
      <c r="AX66" s="3" t="s">
        <v>37</v>
      </c>
      <c r="AY66" s="4"/>
      <c r="AZ66" s="17"/>
      <c r="BA66" s="3"/>
      <c r="BB66" s="3"/>
      <c r="BC66" s="3"/>
      <c r="BD66" s="3"/>
      <c r="BE66" s="17"/>
      <c r="BF66" s="7"/>
      <c r="BP66" s="2">
        <f t="shared" si="91"/>
        <v>0</v>
      </c>
      <c r="BQ66" s="42">
        <f t="shared" si="104"/>
        <v>0</v>
      </c>
      <c r="BR66" s="42">
        <f t="shared" si="99"/>
        <v>0</v>
      </c>
      <c r="BS66" s="42">
        <f t="shared" si="100"/>
        <v>0</v>
      </c>
      <c r="BT66">
        <f t="shared" si="101"/>
        <v>0</v>
      </c>
      <c r="BU66">
        <f t="shared" si="102"/>
        <v>0</v>
      </c>
      <c r="BV66">
        <f t="shared" si="92"/>
        <v>0</v>
      </c>
      <c r="BW66" s="121">
        <f t="shared" si="93"/>
        <v>0</v>
      </c>
      <c r="BY66">
        <f t="shared" si="21"/>
        <v>0</v>
      </c>
      <c r="CG66" s="120">
        <f t="shared" si="76"/>
        <v>0</v>
      </c>
      <c r="CH66" s="376"/>
      <c r="CM66" s="120"/>
      <c r="CN66" s="122"/>
      <c r="CO66" s="121"/>
      <c r="CP66" s="120"/>
      <c r="CQ66" s="122"/>
      <c r="CS66" s="125"/>
      <c r="CT66" s="126"/>
      <c r="CV66" s="3" t="s">
        <v>380</v>
      </c>
      <c r="CW66">
        <f t="shared" si="80"/>
        <v>0</v>
      </c>
      <c r="CX66" s="42" t="s">
        <v>542</v>
      </c>
      <c r="CY66" t="e">
        <f t="shared" si="72"/>
        <v>#N/A</v>
      </c>
      <c r="CZ66" t="e">
        <f t="shared" si="94"/>
        <v>#N/A</v>
      </c>
      <c r="DA66" t="e">
        <f t="shared" si="67"/>
        <v>#N/A</v>
      </c>
      <c r="DB66" t="str">
        <f t="shared" si="95"/>
        <v/>
      </c>
      <c r="DC66" t="str">
        <f t="shared" si="96"/>
        <v/>
      </c>
      <c r="DD66" t="s">
        <v>571</v>
      </c>
      <c r="DE66" t="e">
        <f t="shared" si="97"/>
        <v>#N/A</v>
      </c>
      <c r="DF66" t="b">
        <f t="shared" si="77"/>
        <v>1</v>
      </c>
      <c r="DG66" s="162" t="str">
        <f t="shared" si="98"/>
        <v/>
      </c>
      <c r="DM66" s="3" t="s">
        <v>215</v>
      </c>
      <c r="DN66" s="39">
        <v>200</v>
      </c>
      <c r="EJ66" t="s">
        <v>398</v>
      </c>
    </row>
    <row r="67" spans="1:140" x14ac:dyDescent="0.3">
      <c r="A67" s="384"/>
      <c r="B67" s="95"/>
      <c r="C67" s="74" t="s">
        <v>98</v>
      </c>
      <c r="D67" s="75"/>
      <c r="E67" s="52"/>
      <c r="F67" s="99"/>
      <c r="G67" s="74" t="s">
        <v>1008</v>
      </c>
      <c r="H67" s="51"/>
      <c r="J67" s="170"/>
      <c r="K67" s="99"/>
      <c r="L67" s="51" t="s">
        <v>38</v>
      </c>
      <c r="M67" s="51"/>
      <c r="N67" s="51"/>
      <c r="O67" s="51"/>
      <c r="P67" s="267"/>
      <c r="Q67" s="267"/>
      <c r="R67" s="267"/>
      <c r="S67" s="51"/>
      <c r="T67" s="53"/>
      <c r="U67" s="53"/>
      <c r="V67" s="53"/>
      <c r="W67" s="53"/>
      <c r="X67" s="53"/>
      <c r="Y67" s="53"/>
      <c r="Z67" s="53"/>
      <c r="AA67" s="53"/>
      <c r="AB67" s="53"/>
      <c r="AC67" s="53"/>
      <c r="AD67"/>
      <c r="AG67" s="70" t="str">
        <f t="shared" si="28"/>
        <v/>
      </c>
      <c r="AK67" t="s">
        <v>214</v>
      </c>
      <c r="AL67" s="9">
        <f t="shared" si="78"/>
        <v>0</v>
      </c>
      <c r="AM67" s="16" t="b">
        <f t="shared" si="30"/>
        <v>0</v>
      </c>
      <c r="AN67" s="16">
        <f t="shared" si="79"/>
        <v>0</v>
      </c>
      <c r="AO67" s="3" t="s">
        <v>381</v>
      </c>
      <c r="AP67" s="24">
        <v>792</v>
      </c>
      <c r="AR67" s="9">
        <f t="shared" si="88"/>
        <v>0</v>
      </c>
      <c r="AS67" t="s">
        <v>1008</v>
      </c>
      <c r="AT67" s="35">
        <f t="shared" si="103"/>
        <v>0</v>
      </c>
      <c r="AV67" s="15">
        <f t="shared" si="90"/>
        <v>0</v>
      </c>
      <c r="AW67" s="45">
        <f>+AV67*DN31</f>
        <v>0</v>
      </c>
      <c r="AX67" s="3" t="s">
        <v>38</v>
      </c>
      <c r="AY67" s="4"/>
      <c r="AZ67" s="17"/>
      <c r="BA67" s="3"/>
      <c r="BB67" s="3"/>
      <c r="BC67" s="3"/>
      <c r="BD67" s="3"/>
      <c r="BE67" s="17"/>
      <c r="BF67" s="7"/>
      <c r="BP67" s="2">
        <f t="shared" si="91"/>
        <v>0</v>
      </c>
      <c r="BQ67" s="42">
        <f t="shared" si="104"/>
        <v>0</v>
      </c>
      <c r="BR67" s="42">
        <f t="shared" si="99"/>
        <v>0</v>
      </c>
      <c r="BS67" s="42">
        <f t="shared" si="100"/>
        <v>0</v>
      </c>
      <c r="BT67">
        <f t="shared" si="101"/>
        <v>0</v>
      </c>
      <c r="BU67">
        <f t="shared" si="102"/>
        <v>0</v>
      </c>
      <c r="BV67">
        <f t="shared" si="92"/>
        <v>0</v>
      </c>
      <c r="BW67" s="121">
        <f t="shared" si="93"/>
        <v>0</v>
      </c>
      <c r="BY67">
        <f t="shared" si="21"/>
        <v>0</v>
      </c>
      <c r="CG67" s="120">
        <f t="shared" si="76"/>
        <v>0</v>
      </c>
      <c r="CH67" s="376"/>
      <c r="CJ67" s="120"/>
      <c r="CK67" s="122"/>
      <c r="CM67" s="123">
        <f>+CM65*CM56</f>
        <v>0</v>
      </c>
      <c r="CN67" s="139" t="s">
        <v>444</v>
      </c>
      <c r="CO67" s="121"/>
      <c r="CP67" s="120"/>
      <c r="CQ67" s="122"/>
      <c r="CV67" s="3" t="s">
        <v>381</v>
      </c>
      <c r="CW67">
        <f t="shared" si="80"/>
        <v>0</v>
      </c>
      <c r="CX67" s="42" t="s">
        <v>543</v>
      </c>
      <c r="CY67" t="e">
        <f t="shared" si="72"/>
        <v>#N/A</v>
      </c>
      <c r="CZ67" t="e">
        <f t="shared" si="94"/>
        <v>#N/A</v>
      </c>
      <c r="DA67" t="e">
        <f t="shared" si="67"/>
        <v>#N/A</v>
      </c>
      <c r="DB67" t="str">
        <f t="shared" si="95"/>
        <v/>
      </c>
      <c r="DC67" t="str">
        <f t="shared" si="96"/>
        <v/>
      </c>
      <c r="DD67" t="s">
        <v>571</v>
      </c>
      <c r="DE67" t="e">
        <f t="shared" si="97"/>
        <v>#N/A</v>
      </c>
      <c r="DF67" t="b">
        <f t="shared" si="77"/>
        <v>1</v>
      </c>
      <c r="DG67" s="162" t="str">
        <f t="shared" si="98"/>
        <v/>
      </c>
      <c r="DM67" s="3" t="s">
        <v>216</v>
      </c>
      <c r="DN67" s="39">
        <v>200</v>
      </c>
      <c r="EJ67" t="s">
        <v>398</v>
      </c>
    </row>
    <row r="68" spans="1:140" x14ac:dyDescent="0.3">
      <c r="A68" s="384"/>
      <c r="B68" s="95"/>
      <c r="C68" s="74" t="s">
        <v>99</v>
      </c>
      <c r="D68" s="75"/>
      <c r="E68" s="52"/>
      <c r="F68" s="99"/>
      <c r="G68" s="337" t="s">
        <v>1134</v>
      </c>
      <c r="H68" s="51"/>
      <c r="I68" s="170"/>
      <c r="J68" s="170"/>
      <c r="K68" s="51"/>
      <c r="L68" s="51"/>
      <c r="M68" s="51"/>
      <c r="N68" s="51"/>
      <c r="O68" s="51"/>
      <c r="P68" s="267"/>
      <c r="Q68" s="267"/>
      <c r="R68" s="267"/>
      <c r="S68" s="51"/>
      <c r="T68" s="53"/>
      <c r="U68" s="53"/>
      <c r="V68" s="53"/>
      <c r="W68" s="53"/>
      <c r="X68" s="53"/>
      <c r="Y68" s="53"/>
      <c r="Z68" s="53"/>
      <c r="AA68" s="53"/>
      <c r="AB68" s="53"/>
      <c r="AC68" s="53"/>
      <c r="AD68"/>
      <c r="AG68" s="70" t="str">
        <f t="shared" si="28"/>
        <v/>
      </c>
      <c r="AK68" t="s">
        <v>214</v>
      </c>
      <c r="AL68" s="9">
        <f t="shared" si="78"/>
        <v>0</v>
      </c>
      <c r="AM68" s="16" t="b">
        <f t="shared" si="30"/>
        <v>0</v>
      </c>
      <c r="AN68" s="16">
        <f t="shared" si="79"/>
        <v>0</v>
      </c>
      <c r="AO68" s="3" t="s">
        <v>382</v>
      </c>
      <c r="AP68" s="24">
        <v>725</v>
      </c>
      <c r="AR68" s="9">
        <f t="shared" si="88"/>
        <v>0</v>
      </c>
      <c r="AS68" t="s">
        <v>1134</v>
      </c>
      <c r="AT68" s="35">
        <f t="shared" si="103"/>
        <v>0</v>
      </c>
      <c r="AV68" s="26"/>
      <c r="AW68" s="41">
        <f>SUM(AW64:AW67)</f>
        <v>0</v>
      </c>
      <c r="AX68" s="24" t="s">
        <v>227</v>
      </c>
      <c r="AY68" s="4"/>
      <c r="AZ68" s="17"/>
      <c r="BA68" s="3"/>
      <c r="BB68" s="3"/>
      <c r="BC68" s="3"/>
      <c r="BD68" s="3"/>
      <c r="BE68" s="17"/>
      <c r="BP68" s="2">
        <f t="shared" si="91"/>
        <v>0</v>
      </c>
      <c r="BQ68" s="42">
        <f t="shared" si="104"/>
        <v>0</v>
      </c>
      <c r="BR68" s="42">
        <f t="shared" si="99"/>
        <v>0</v>
      </c>
      <c r="BS68" s="42">
        <f t="shared" si="100"/>
        <v>0</v>
      </c>
      <c r="BT68">
        <f t="shared" si="101"/>
        <v>0</v>
      </c>
      <c r="BU68">
        <f t="shared" si="102"/>
        <v>0</v>
      </c>
      <c r="BV68">
        <f t="shared" si="92"/>
        <v>0</v>
      </c>
      <c r="BW68" s="121">
        <f t="shared" si="93"/>
        <v>0</v>
      </c>
      <c r="BY68">
        <f t="shared" ref="BY68:BY69" si="105">SUM(BP68:BX68)</f>
        <v>0</v>
      </c>
      <c r="CG68" s="120">
        <f t="shared" si="76"/>
        <v>0</v>
      </c>
      <c r="CH68" s="377"/>
      <c r="CJ68" s="120"/>
      <c r="CK68" s="122"/>
      <c r="CM68" s="120"/>
      <c r="CN68" s="122"/>
      <c r="CO68" s="121"/>
      <c r="CP68" s="120"/>
      <c r="CQ68" s="122"/>
      <c r="CS68" s="118" t="s">
        <v>1182</v>
      </c>
      <c r="CT68" s="119"/>
      <c r="CV68" s="3" t="s">
        <v>382</v>
      </c>
      <c r="CW68">
        <f t="shared" si="80"/>
        <v>0</v>
      </c>
      <c r="CX68" s="42" t="s">
        <v>541</v>
      </c>
      <c r="CY68" t="e">
        <f t="shared" si="72"/>
        <v>#N/A</v>
      </c>
      <c r="CZ68" t="e">
        <f t="shared" si="94"/>
        <v>#N/A</v>
      </c>
      <c r="DA68" t="e">
        <f t="shared" si="67"/>
        <v>#N/A</v>
      </c>
      <c r="DB68" t="str">
        <f t="shared" si="95"/>
        <v/>
      </c>
      <c r="DC68" t="str">
        <f t="shared" si="96"/>
        <v/>
      </c>
      <c r="DD68" t="s">
        <v>571</v>
      </c>
      <c r="DE68" t="e">
        <f t="shared" si="97"/>
        <v>#N/A</v>
      </c>
      <c r="DF68" t="b">
        <f t="shared" si="77"/>
        <v>1</v>
      </c>
      <c r="DG68" s="162" t="str">
        <f t="shared" si="98"/>
        <v/>
      </c>
      <c r="DM68" s="3" t="s">
        <v>135</v>
      </c>
      <c r="DN68" s="39">
        <v>200</v>
      </c>
      <c r="EJ68" t="s">
        <v>398</v>
      </c>
    </row>
    <row r="69" spans="1:140" ht="15" thickBot="1" x14ac:dyDescent="0.35">
      <c r="A69" s="385"/>
      <c r="B69" s="95"/>
      <c r="C69" s="76" t="s">
        <v>100</v>
      </c>
      <c r="D69" s="77"/>
      <c r="E69" s="52"/>
      <c r="F69" s="99"/>
      <c r="G69" s="74" t="s">
        <v>134</v>
      </c>
      <c r="H69" s="51"/>
      <c r="I69" s="317"/>
      <c r="J69" s="170"/>
      <c r="K69" s="170"/>
      <c r="L69" s="267"/>
      <c r="M69" s="267"/>
      <c r="N69" s="267"/>
      <c r="O69" s="267"/>
      <c r="P69" s="267"/>
      <c r="Q69" s="267"/>
      <c r="R69" s="267"/>
      <c r="S69" s="51"/>
      <c r="T69" s="53"/>
      <c r="U69" s="53"/>
      <c r="V69" s="53"/>
      <c r="W69" s="53"/>
      <c r="X69" s="53"/>
      <c r="Y69" s="53"/>
      <c r="Z69" s="53"/>
      <c r="AA69" s="53"/>
      <c r="AB69" s="53"/>
      <c r="AC69" s="53"/>
      <c r="AD69"/>
      <c r="AE69" s="32"/>
      <c r="AF69" s="32"/>
      <c r="AG69" s="227" t="str">
        <f t="shared" si="28"/>
        <v/>
      </c>
      <c r="AH69" s="32"/>
      <c r="AI69" s="32"/>
      <c r="AJ69" s="32"/>
      <c r="AK69" s="32" t="s">
        <v>214</v>
      </c>
      <c r="AL69" s="9">
        <f t="shared" si="78"/>
        <v>0</v>
      </c>
      <c r="AM69" s="16" t="b">
        <f t="shared" si="30"/>
        <v>0</v>
      </c>
      <c r="AN69" s="34">
        <f t="shared" si="79"/>
        <v>0</v>
      </c>
      <c r="AO69" s="171" t="s">
        <v>575</v>
      </c>
      <c r="AP69" s="174">
        <v>750</v>
      </c>
      <c r="AR69" s="9">
        <f t="shared" si="88"/>
        <v>0</v>
      </c>
      <c r="AS69" t="s">
        <v>134</v>
      </c>
      <c r="AT69" s="35">
        <f t="shared" si="103"/>
        <v>0</v>
      </c>
      <c r="AY69" s="4"/>
      <c r="AZ69" s="17"/>
      <c r="BA69" s="3"/>
      <c r="BB69" s="3"/>
      <c r="BC69" s="3"/>
      <c r="BD69" s="3"/>
      <c r="BE69" s="17"/>
      <c r="BP69" s="2">
        <f t="shared" si="91"/>
        <v>0</v>
      </c>
      <c r="BQ69" s="42">
        <f t="shared" si="104"/>
        <v>0</v>
      </c>
      <c r="BR69" s="42">
        <f t="shared" si="99"/>
        <v>0</v>
      </c>
      <c r="BS69" s="42">
        <f t="shared" si="100"/>
        <v>0</v>
      </c>
      <c r="BT69">
        <f t="shared" si="101"/>
        <v>0</v>
      </c>
      <c r="BU69">
        <f t="shared" si="102"/>
        <v>0</v>
      </c>
      <c r="BV69">
        <f t="shared" si="92"/>
        <v>0</v>
      </c>
      <c r="BW69" s="121">
        <f t="shared" si="93"/>
        <v>0</v>
      </c>
      <c r="BY69">
        <f t="shared" si="105"/>
        <v>0</v>
      </c>
      <c r="CG69" s="120">
        <f t="shared" si="76"/>
        <v>0</v>
      </c>
      <c r="CH69" s="377"/>
      <c r="CJ69" s="120"/>
      <c r="CK69" s="122"/>
      <c r="CM69" s="123">
        <f>IF(SUM(CM67,CM54,CM41,CM28)&gt;0,1,0)</f>
        <v>0</v>
      </c>
      <c r="CN69" s="124" t="s">
        <v>470</v>
      </c>
      <c r="CO69" s="121"/>
      <c r="CP69" s="127"/>
      <c r="CQ69" s="299"/>
      <c r="CS69" s="120"/>
      <c r="CT69" s="122"/>
      <c r="CV69" s="157" t="s">
        <v>383</v>
      </c>
      <c r="CW69" s="155">
        <f t="shared" si="80"/>
        <v>0</v>
      </c>
      <c r="CX69" s="155" t="s">
        <v>542</v>
      </c>
      <c r="CY69" t="e">
        <f t="shared" si="72"/>
        <v>#N/A</v>
      </c>
      <c r="CZ69" t="e">
        <f t="shared" si="94"/>
        <v>#N/A</v>
      </c>
      <c r="DA69" t="e">
        <f t="shared" si="67"/>
        <v>#N/A</v>
      </c>
      <c r="DB69" t="str">
        <f t="shared" si="95"/>
        <v/>
      </c>
      <c r="DC69" t="str">
        <f t="shared" si="96"/>
        <v/>
      </c>
      <c r="DD69" t="s">
        <v>571</v>
      </c>
      <c r="DE69" t="e">
        <f t="shared" si="97"/>
        <v>#N/A</v>
      </c>
      <c r="DF69" t="b">
        <f t="shared" si="77"/>
        <v>1</v>
      </c>
      <c r="DG69" s="163" t="str">
        <f t="shared" si="98"/>
        <v/>
      </c>
      <c r="DI69" s="164" t="str">
        <f>CONCATENATE(DG61,DG62,DG63,DG64,DG65,DG66,DG67,DG68,DG69)</f>
        <v/>
      </c>
      <c r="DM69" s="3" t="s">
        <v>136</v>
      </c>
      <c r="DN69" s="39">
        <v>200</v>
      </c>
      <c r="EJ69" t="s">
        <v>398</v>
      </c>
    </row>
    <row r="70" spans="1:140" x14ac:dyDescent="0.3">
      <c r="A70" s="51"/>
      <c r="B70" s="51"/>
      <c r="C70" s="51"/>
      <c r="D70" s="52"/>
      <c r="E70" s="7"/>
      <c r="F70" s="99"/>
      <c r="G70" s="74" t="s">
        <v>137</v>
      </c>
      <c r="H70" s="51"/>
      <c r="I70" s="317"/>
      <c r="J70" s="51"/>
      <c r="K70" s="51"/>
      <c r="L70" s="51"/>
      <c r="M70" s="51"/>
      <c r="N70" s="170"/>
      <c r="O70" s="267"/>
      <c r="P70" s="267"/>
      <c r="Q70" s="267"/>
      <c r="R70" s="267"/>
      <c r="S70" s="51"/>
      <c r="T70" s="53"/>
      <c r="U70" s="53"/>
      <c r="V70" s="53"/>
      <c r="W70" s="53"/>
      <c r="X70" s="53"/>
      <c r="Y70" s="53"/>
      <c r="Z70" s="53"/>
      <c r="AA70" s="53"/>
      <c r="AB70" s="53"/>
      <c r="AC70" s="53"/>
      <c r="AD70"/>
      <c r="AG70" s="70" t="str">
        <f t="shared" si="28"/>
        <v/>
      </c>
      <c r="AR70" s="9">
        <f t="shared" si="88"/>
        <v>0</v>
      </c>
      <c r="AS70" t="s">
        <v>137</v>
      </c>
      <c r="AT70" s="35">
        <f t="shared" si="103"/>
        <v>0</v>
      </c>
      <c r="AY70" s="4"/>
      <c r="AZ70" s="17"/>
      <c r="BA70" s="3"/>
      <c r="BB70" s="3"/>
      <c r="BC70" s="3"/>
      <c r="BD70" s="3"/>
      <c r="BE70" s="17"/>
      <c r="CG70" s="120"/>
      <c r="CH70" s="122"/>
      <c r="CJ70" s="120"/>
      <c r="CK70" s="122"/>
      <c r="CM70" s="120"/>
      <c r="CN70" s="122"/>
      <c r="CO70" s="121"/>
      <c r="CS70" s="325">
        <f>AL23</f>
        <v>0</v>
      </c>
      <c r="CT70" s="122" t="s">
        <v>1117</v>
      </c>
      <c r="DM70" t="s">
        <v>1008</v>
      </c>
      <c r="DN70" s="39">
        <v>50</v>
      </c>
      <c r="EJ70" t="s">
        <v>398</v>
      </c>
    </row>
    <row r="71" spans="1:140" x14ac:dyDescent="0.3">
      <c r="A71" s="51"/>
      <c r="B71" s="51"/>
      <c r="C71" s="61"/>
      <c r="D71" s="78"/>
      <c r="E71" s="52"/>
      <c r="F71" s="116"/>
      <c r="G71" s="74" t="s">
        <v>138</v>
      </c>
      <c r="I71" s="318"/>
      <c r="J71" s="51"/>
      <c r="K71" s="51"/>
      <c r="L71" s="51"/>
      <c r="M71" s="51"/>
      <c r="N71" s="170"/>
      <c r="O71" s="267"/>
      <c r="P71" s="267"/>
      <c r="Q71" s="267"/>
      <c r="R71" s="267"/>
      <c r="S71" s="51"/>
      <c r="T71" s="53"/>
      <c r="U71" s="53"/>
      <c r="V71" s="53"/>
      <c r="W71" s="53"/>
      <c r="X71" s="53"/>
      <c r="Y71" s="53"/>
      <c r="Z71" s="53"/>
      <c r="AA71" s="53"/>
      <c r="AB71" s="53"/>
      <c r="AC71" s="53"/>
      <c r="AD71"/>
      <c r="AM71" s="10" t="s">
        <v>207</v>
      </c>
      <c r="AN71" s="13">
        <f>SUM(AN3:AN24)</f>
        <v>0</v>
      </c>
      <c r="AR71" s="382">
        <f t="shared" si="88"/>
        <v>0</v>
      </c>
      <c r="AS71" s="38" t="s">
        <v>138</v>
      </c>
      <c r="AT71" s="35">
        <f t="shared" si="103"/>
        <v>0</v>
      </c>
      <c r="AZ71" s="121"/>
      <c r="BB71" s="3"/>
      <c r="BC71" s="3"/>
      <c r="BD71" s="3"/>
      <c r="BE71" s="121"/>
      <c r="CG71" s="120">
        <f>SUM(CG38:CG69)</f>
        <v>0</v>
      </c>
      <c r="CH71" s="122" t="s">
        <v>438</v>
      </c>
      <c r="CM71" s="125"/>
      <c r="CN71" s="126"/>
      <c r="CO71" s="121"/>
      <c r="CS71" s="325">
        <f>AL24</f>
        <v>0</v>
      </c>
      <c r="CT71" s="122" t="s">
        <v>1118</v>
      </c>
      <c r="DM71" t="s">
        <v>1134</v>
      </c>
      <c r="DN71" s="39">
        <v>50</v>
      </c>
      <c r="EJ71" t="s">
        <v>398</v>
      </c>
    </row>
    <row r="72" spans="1:140" x14ac:dyDescent="0.3">
      <c r="A72" s="51"/>
      <c r="B72" s="51"/>
      <c r="C72" s="51"/>
      <c r="D72" s="52"/>
      <c r="E72" s="52"/>
      <c r="F72" s="99"/>
      <c r="G72" s="170" t="s">
        <v>1232</v>
      </c>
      <c r="H72" s="333"/>
      <c r="I72" s="318"/>
      <c r="J72" s="51"/>
      <c r="K72" s="51"/>
      <c r="L72" s="51"/>
      <c r="M72" s="51"/>
      <c r="N72" s="170"/>
      <c r="O72" s="267"/>
      <c r="P72" s="267"/>
      <c r="Q72" s="267"/>
      <c r="R72" s="267"/>
      <c r="S72" s="51"/>
      <c r="T72" s="53"/>
      <c r="U72" s="53"/>
      <c r="V72" s="53"/>
      <c r="W72" s="53"/>
      <c r="X72" s="53"/>
      <c r="Y72" s="53"/>
      <c r="Z72" s="53"/>
      <c r="AA72" s="53"/>
      <c r="AB72" s="53"/>
      <c r="AC72" s="53"/>
      <c r="AD72"/>
      <c r="AM72" s="10" t="s">
        <v>208</v>
      </c>
      <c r="AN72" s="9">
        <f>SUM(AN25:AN34)</f>
        <v>0</v>
      </c>
      <c r="AR72" s="9">
        <f t="shared" si="88"/>
        <v>0</v>
      </c>
      <c r="AS72" s="253" t="s">
        <v>1232</v>
      </c>
      <c r="AT72" s="35">
        <f t="shared" si="103"/>
        <v>0</v>
      </c>
      <c r="BB72" s="3"/>
      <c r="BC72" s="3"/>
      <c r="BD72" s="3"/>
      <c r="BE72" s="30">
        <f>SUM(BE56:BE58)</f>
        <v>0</v>
      </c>
      <c r="BF72" s="18" t="s">
        <v>221</v>
      </c>
      <c r="BN72" s="31">
        <f>SUM(BN3:BN64)</f>
        <v>0</v>
      </c>
      <c r="BO72" s="31">
        <f>SUM(BO3:BO64)</f>
        <v>0</v>
      </c>
      <c r="BQ72" s="222" t="s">
        <v>32</v>
      </c>
      <c r="BR72" t="s">
        <v>18</v>
      </c>
      <c r="BS72" t="s">
        <v>238</v>
      </c>
      <c r="BT72" s="2" t="s">
        <v>19</v>
      </c>
      <c r="BU72" t="s">
        <v>1100</v>
      </c>
      <c r="BV72" s="222" t="s">
        <v>151</v>
      </c>
      <c r="CG72" s="120"/>
      <c r="CH72" s="122"/>
      <c r="CJ72" s="118" t="s">
        <v>1189</v>
      </c>
      <c r="CK72" s="119"/>
      <c r="CO72" s="121"/>
      <c r="CS72" s="120"/>
      <c r="CT72" s="122"/>
      <c r="CV72" s="221" t="s">
        <v>555</v>
      </c>
      <c r="CW72" s="221"/>
      <c r="CX72" s="222" t="s">
        <v>556</v>
      </c>
      <c r="CY72" s="222"/>
      <c r="CZ72" s="222" t="s">
        <v>559</v>
      </c>
      <c r="DA72" s="222"/>
      <c r="DB72" s="222" t="s">
        <v>560</v>
      </c>
      <c r="DC72" s="222"/>
      <c r="DM72" t="s">
        <v>134</v>
      </c>
      <c r="DN72" s="39">
        <v>0</v>
      </c>
      <c r="EJ72" t="s">
        <v>398</v>
      </c>
    </row>
    <row r="73" spans="1:140" x14ac:dyDescent="0.3">
      <c r="A73" s="51"/>
      <c r="B73" s="170"/>
      <c r="C73" s="63"/>
      <c r="D73" s="52"/>
      <c r="E73" s="318"/>
      <c r="F73" s="99"/>
      <c r="G73" s="170" t="s">
        <v>1233</v>
      </c>
      <c r="H73" s="333"/>
      <c r="I73" s="318"/>
      <c r="J73" s="170"/>
      <c r="K73" s="170"/>
      <c r="L73" s="170"/>
      <c r="M73" s="170"/>
      <c r="N73" s="170"/>
      <c r="O73" s="267"/>
      <c r="P73" s="267"/>
      <c r="Q73" s="267"/>
      <c r="R73" s="267"/>
      <c r="S73" s="267"/>
      <c r="T73" s="267"/>
      <c r="U73" s="267"/>
      <c r="V73" s="267"/>
      <c r="W73" s="267"/>
      <c r="X73" s="267"/>
      <c r="Y73" s="267"/>
      <c r="Z73" s="267"/>
      <c r="AA73" s="267"/>
      <c r="AB73" s="267"/>
      <c r="AC73" s="267"/>
      <c r="AD73"/>
      <c r="AM73" s="10" t="s">
        <v>209</v>
      </c>
      <c r="AN73" s="9">
        <f>SUM(AN35:AN60)</f>
        <v>0</v>
      </c>
      <c r="AR73" s="9">
        <f t="shared" si="88"/>
        <v>0</v>
      </c>
      <c r="AS73" s="253" t="s">
        <v>1233</v>
      </c>
      <c r="AT73" s="35">
        <f t="shared" si="103"/>
        <v>0</v>
      </c>
      <c r="BE73">
        <f>SUM(BE60)</f>
        <v>1</v>
      </c>
      <c r="BF73" s="18" t="s">
        <v>222</v>
      </c>
      <c r="CG73" s="123">
        <f>IF(AND(SUM(CG39:CG59,CG61)&gt;0,AR69&gt;0)=TRUE,1,0)</f>
        <v>0</v>
      </c>
      <c r="CH73" s="124" t="s">
        <v>439</v>
      </c>
      <c r="CJ73" s="120">
        <f>BD12</f>
        <v>0</v>
      </c>
      <c r="CK73" s="122" t="s">
        <v>1190</v>
      </c>
      <c r="CO73" s="121"/>
      <c r="CS73" s="325">
        <f>+BH11</f>
        <v>0</v>
      </c>
      <c r="CT73" s="122" t="s">
        <v>1183</v>
      </c>
      <c r="CV73">
        <f>BA4</f>
        <v>0</v>
      </c>
      <c r="CW73" t="s">
        <v>553</v>
      </c>
      <c r="CX73">
        <f>BA5</f>
        <v>0</v>
      </c>
      <c r="CY73" t="s">
        <v>143</v>
      </c>
      <c r="CZ73">
        <f>BA6</f>
        <v>0</v>
      </c>
      <c r="DA73" t="s">
        <v>143</v>
      </c>
      <c r="DB73">
        <f>BA7</f>
        <v>0</v>
      </c>
      <c r="DC73" t="s">
        <v>562</v>
      </c>
      <c r="DM73" t="s">
        <v>137</v>
      </c>
      <c r="DN73" s="39">
        <v>200</v>
      </c>
      <c r="EJ73" t="s">
        <v>398</v>
      </c>
    </row>
    <row r="74" spans="1:140" x14ac:dyDescent="0.3">
      <c r="A74" s="51"/>
      <c r="B74" s="170"/>
      <c r="C74" s="51"/>
      <c r="D74" s="52"/>
      <c r="E74" s="318"/>
      <c r="F74" s="332"/>
      <c r="G74" s="170"/>
      <c r="H74" s="333"/>
      <c r="I74" s="318"/>
      <c r="J74" s="332"/>
      <c r="K74" s="170"/>
      <c r="L74" s="170"/>
      <c r="M74" s="170"/>
      <c r="N74" s="170"/>
      <c r="O74" s="267"/>
      <c r="P74" s="267"/>
      <c r="Q74" s="267"/>
      <c r="R74" s="267"/>
      <c r="S74" s="267"/>
      <c r="T74" s="267"/>
      <c r="U74" s="267"/>
      <c r="V74" s="267"/>
      <c r="W74" s="267"/>
      <c r="X74" s="267"/>
      <c r="Y74" s="267"/>
      <c r="Z74" s="267"/>
      <c r="AA74" s="267"/>
      <c r="AB74" s="267"/>
      <c r="AC74" s="267"/>
      <c r="AD74"/>
      <c r="AM74" s="10" t="s">
        <v>210</v>
      </c>
      <c r="AN74" s="9">
        <f>SUM(AN61:AN69)</f>
        <v>0</v>
      </c>
      <c r="AR74" s="17">
        <f>SUM(AR59:AR73)</f>
        <v>0</v>
      </c>
      <c r="AS74" s="18" t="s">
        <v>204</v>
      </c>
      <c r="AZ74" s="30">
        <f>SUM(AZ56)</f>
        <v>1</v>
      </c>
      <c r="BA74" s="18" t="s">
        <v>221</v>
      </c>
      <c r="BB74" s="18"/>
      <c r="CG74" s="127">
        <f>IF(OR(CG73=1,CG35=1)=TRUE,1,0)</f>
        <v>0</v>
      </c>
      <c r="CH74" s="299" t="s">
        <v>440</v>
      </c>
      <c r="CJ74" s="120">
        <f>AZ11</f>
        <v>0</v>
      </c>
      <c r="CK74" s="122" t="s">
        <v>1191</v>
      </c>
      <c r="CO74" s="121"/>
      <c r="CS74" s="120"/>
      <c r="CT74" s="122"/>
      <c r="CV74">
        <f>BD4</f>
        <v>0</v>
      </c>
      <c r="CW74" t="s">
        <v>26</v>
      </c>
      <c r="CX74">
        <f>BB5</f>
        <v>0</v>
      </c>
      <c r="CY74" t="s">
        <v>557</v>
      </c>
      <c r="CZ74">
        <f>BB6</f>
        <v>0</v>
      </c>
      <c r="DA74" t="s">
        <v>557</v>
      </c>
      <c r="DB74">
        <f>BB7</f>
        <v>0</v>
      </c>
      <c r="DC74" t="s">
        <v>557</v>
      </c>
      <c r="DD74" t="s">
        <v>544</v>
      </c>
      <c r="DM74" t="s">
        <v>138</v>
      </c>
      <c r="DN74" s="39">
        <v>200</v>
      </c>
      <c r="EJ74" t="s">
        <v>398</v>
      </c>
    </row>
    <row r="75" spans="1:140" x14ac:dyDescent="0.3">
      <c r="A75" s="51"/>
      <c r="B75" s="170"/>
      <c r="C75" s="51"/>
      <c r="D75" s="52"/>
      <c r="E75" s="318"/>
      <c r="F75" s="318"/>
      <c r="G75" s="344" t="str">
        <f ca="1">IF(SUM(AR7,AR11,AR13,AR14:AR15,AR19,AR20)*SUM(AR60,AR62,AR64,AR71)&gt;0,VLOOKUP(RANDBETWEEN(1,6),AF86:AG91,2,FALSE),"")</f>
        <v/>
      </c>
      <c r="H75" s="318"/>
      <c r="I75" s="318"/>
      <c r="J75" s="332"/>
      <c r="K75" s="332"/>
      <c r="L75" s="332"/>
      <c r="M75" s="170"/>
      <c r="N75" s="170"/>
      <c r="O75" s="267"/>
      <c r="P75" s="267"/>
      <c r="Q75" s="267"/>
      <c r="R75" s="267"/>
      <c r="S75" s="267"/>
      <c r="T75" s="267"/>
      <c r="U75" s="267"/>
      <c r="V75" s="267"/>
      <c r="W75" s="267"/>
      <c r="X75" s="267"/>
      <c r="Y75" s="267"/>
      <c r="Z75" s="267"/>
      <c r="AA75" s="267"/>
      <c r="AB75" s="267"/>
      <c r="AC75" s="267"/>
      <c r="AD75"/>
      <c r="AM75" s="25" t="s">
        <v>204</v>
      </c>
      <c r="AN75" s="9">
        <f>SUM(AN71:AN74)</f>
        <v>0</v>
      </c>
      <c r="AS75" s="346" t="s">
        <v>227</v>
      </c>
      <c r="AT75" s="44">
        <f>SUM(AT59:AT74)</f>
        <v>0</v>
      </c>
      <c r="AZ75">
        <f>SUM(AZ58:AZ60)</f>
        <v>0</v>
      </c>
      <c r="BA75" s="18" t="s">
        <v>222</v>
      </c>
      <c r="BB75" s="18"/>
      <c r="CJ75" s="123">
        <f>+CJ74*CJ73</f>
        <v>0</v>
      </c>
      <c r="CK75" s="124" t="s">
        <v>1192</v>
      </c>
      <c r="CO75" s="121"/>
      <c r="CS75" s="127">
        <f>SUM(CS70:CS71)*CS73</f>
        <v>0</v>
      </c>
      <c r="CT75" s="299" t="s">
        <v>452</v>
      </c>
      <c r="CV75">
        <f>BE4</f>
        <v>0</v>
      </c>
      <c r="CW75" t="s">
        <v>26</v>
      </c>
      <c r="CX75">
        <f>BC5</f>
        <v>0</v>
      </c>
      <c r="CY75" t="s">
        <v>558</v>
      </c>
      <c r="CZ75">
        <f>BC6</f>
        <v>0</v>
      </c>
      <c r="DA75" t="s">
        <v>558</v>
      </c>
      <c r="DB75">
        <f>BC7</f>
        <v>0</v>
      </c>
      <c r="DC75" t="s">
        <v>558</v>
      </c>
      <c r="DD75" t="s">
        <v>561</v>
      </c>
      <c r="DM75" t="s">
        <v>1230</v>
      </c>
      <c r="DN75" s="39">
        <v>0</v>
      </c>
      <c r="EJ75" t="s">
        <v>398</v>
      </c>
    </row>
    <row r="76" spans="1:140" x14ac:dyDescent="0.3">
      <c r="A76" s="51"/>
      <c r="B76" s="51"/>
      <c r="C76" s="51"/>
      <c r="D76" s="52"/>
      <c r="E76" s="318"/>
      <c r="F76" s="318"/>
      <c r="G76" s="345" t="str">
        <f>IFERROR(IF(MATCH(1,AR3:AR34,0)=MATCH(1,AW3:AW34,0),"Not an Accent",""),"")</f>
        <v/>
      </c>
      <c r="H76" s="318"/>
      <c r="I76" s="318"/>
      <c r="J76" s="332"/>
      <c r="K76" s="332"/>
      <c r="L76" s="332"/>
      <c r="M76" s="170"/>
      <c r="N76" s="170"/>
      <c r="O76" s="267"/>
      <c r="P76" s="267"/>
      <c r="Q76" s="267"/>
      <c r="R76" s="267"/>
      <c r="S76" s="267"/>
      <c r="T76" s="267"/>
      <c r="U76" s="267"/>
      <c r="V76" s="267"/>
      <c r="W76" s="267"/>
      <c r="X76" s="267"/>
      <c r="Y76" s="267"/>
      <c r="Z76" s="267"/>
      <c r="AA76" s="267"/>
      <c r="AB76" s="267"/>
      <c r="AC76" s="267"/>
      <c r="AD76"/>
      <c r="AF76" t="s">
        <v>401</v>
      </c>
      <c r="AG76" s="70" t="str">
        <f>CONCATENATE(AG3,AG4,AG5,AG6,AG7,AG8,AG9,AG10,AG11,AG12,AG13,AG14,AG15,AG16,AG17,AG18,AG19,AG20,AG21,AG22,AG23,AG24)</f>
        <v/>
      </c>
      <c r="AZ76">
        <f>SUM(AZ62:AZ63)</f>
        <v>0</v>
      </c>
      <c r="BA76" s="18" t="s">
        <v>223</v>
      </c>
      <c r="BB76" s="18"/>
      <c r="CG76" s="183" t="s">
        <v>632</v>
      </c>
      <c r="CH76" s="119"/>
      <c r="CJ76" s="125"/>
      <c r="CK76" s="126"/>
      <c r="CO76" s="121"/>
      <c r="CV76">
        <f>BF4</f>
        <v>0</v>
      </c>
      <c r="CW76" t="s">
        <v>554</v>
      </c>
      <c r="DM76" t="s">
        <v>1231</v>
      </c>
      <c r="DN76" s="39">
        <v>0</v>
      </c>
      <c r="EJ76" t="s">
        <v>398</v>
      </c>
    </row>
    <row r="77" spans="1:140" x14ac:dyDescent="0.3">
      <c r="A77" s="51"/>
      <c r="B77" s="51"/>
      <c r="C77" s="51"/>
      <c r="D77" s="52"/>
      <c r="E77" s="318"/>
      <c r="F77" s="318"/>
      <c r="G77" s="318"/>
      <c r="H77" s="318"/>
      <c r="I77" s="318"/>
      <c r="J77" s="318"/>
      <c r="K77" s="332"/>
      <c r="L77" s="332"/>
      <c r="M77" s="170"/>
      <c r="N77" s="170"/>
      <c r="O77" s="267"/>
      <c r="P77" s="267"/>
      <c r="Q77" s="267"/>
      <c r="R77" s="267"/>
      <c r="S77" s="267"/>
      <c r="T77" s="267"/>
      <c r="U77" s="267"/>
      <c r="V77" s="267"/>
      <c r="W77" s="267"/>
      <c r="X77" s="267"/>
      <c r="Y77" s="267"/>
      <c r="Z77" s="267"/>
      <c r="AA77" s="267"/>
      <c r="AB77" s="267"/>
      <c r="AC77" s="267"/>
      <c r="AF77" t="s">
        <v>402</v>
      </c>
      <c r="AG77" s="70" t="str">
        <f>CONCATENATE(AG25,AG26,AG27,AG28,AG29,AG30,AG31,AG32,AG33,AG34)</f>
        <v/>
      </c>
      <c r="CG77" s="120"/>
      <c r="CH77" s="122" t="s">
        <v>633</v>
      </c>
      <c r="CO77" s="121"/>
      <c r="DN77" s="39"/>
      <c r="EJ77" t="s">
        <v>398</v>
      </c>
    </row>
    <row r="78" spans="1:140" x14ac:dyDescent="0.3">
      <c r="A78" s="51"/>
      <c r="B78" s="51"/>
      <c r="C78" s="51"/>
      <c r="D78" s="52"/>
      <c r="E78" s="318"/>
      <c r="F78" s="318"/>
      <c r="G78" s="318"/>
      <c r="H78" s="318"/>
      <c r="I78" s="318"/>
      <c r="J78" s="318"/>
      <c r="K78" s="332"/>
      <c r="L78" s="332"/>
      <c r="M78" s="170"/>
      <c r="N78" s="170"/>
      <c r="O78" s="267"/>
      <c r="P78" s="267"/>
      <c r="Q78" s="267"/>
      <c r="R78" s="267"/>
      <c r="S78" s="267"/>
      <c r="T78" s="267"/>
      <c r="U78" s="267"/>
      <c r="V78" s="267"/>
      <c r="W78" s="267"/>
      <c r="X78" s="267"/>
      <c r="Y78" s="267"/>
      <c r="Z78" s="267"/>
      <c r="AA78" s="267"/>
      <c r="AB78" s="267"/>
      <c r="AC78" s="267"/>
      <c r="AF78" t="s">
        <v>200</v>
      </c>
      <c r="AG78" s="70" t="str">
        <f>CONCATENATE(AG35,AG36,AG37,AG38,AG39,AG40,AG41,AG42,AG43,AG44,AG45,AG46,AG47,AG48,AG49,AG50,AG51,AG52,AG53,AG54,AG55,AG56,AG57,AG58,AG59,AG60)</f>
        <v/>
      </c>
      <c r="CG78" s="120">
        <f>+AR8</f>
        <v>0</v>
      </c>
      <c r="CH78" s="137" t="s">
        <v>117</v>
      </c>
      <c r="CO78" s="121"/>
      <c r="DN78" s="39"/>
      <c r="EJ78" t="s">
        <v>398</v>
      </c>
    </row>
    <row r="79" spans="1:140" x14ac:dyDescent="0.3">
      <c r="A79" s="51"/>
      <c r="B79" s="51"/>
      <c r="C79" s="51"/>
      <c r="D79" s="52"/>
      <c r="E79" s="318"/>
      <c r="F79" s="318"/>
      <c r="G79" s="318"/>
      <c r="H79" s="318"/>
      <c r="I79" s="318"/>
      <c r="J79" s="318"/>
      <c r="K79" s="332"/>
      <c r="L79" s="332"/>
      <c r="M79" s="170"/>
      <c r="N79" s="170"/>
      <c r="O79" s="267"/>
      <c r="P79" s="267"/>
      <c r="Q79" s="267"/>
      <c r="R79" s="267"/>
      <c r="S79" s="267"/>
      <c r="T79" s="267"/>
      <c r="U79" s="267"/>
      <c r="V79" s="267"/>
      <c r="W79" s="267"/>
      <c r="X79" s="267"/>
      <c r="Y79" s="267"/>
      <c r="Z79" s="267"/>
      <c r="AA79" s="267"/>
      <c r="AB79" s="267"/>
      <c r="AC79" s="267"/>
      <c r="AF79" t="s">
        <v>403</v>
      </c>
      <c r="AG79" s="70" t="str">
        <f>CONCATENATE(AG61,AG62,AG63,AG64,AG65,AG66,AG67,AG68,AG69)</f>
        <v/>
      </c>
      <c r="CG79" s="120"/>
      <c r="CH79" s="137" t="s">
        <v>1253</v>
      </c>
      <c r="CO79" s="121"/>
      <c r="DN79" s="39"/>
      <c r="EJ79" t="s">
        <v>398</v>
      </c>
    </row>
    <row r="80" spans="1:140" x14ac:dyDescent="0.3">
      <c r="A80" s="51"/>
      <c r="B80" s="51"/>
      <c r="C80" s="51"/>
      <c r="D80" s="52"/>
      <c r="E80" s="318"/>
      <c r="F80" s="318"/>
      <c r="G80" s="318"/>
      <c r="H80" s="318"/>
      <c r="I80" s="318"/>
      <c r="J80" s="318"/>
      <c r="K80" s="332"/>
      <c r="L80" s="332"/>
      <c r="M80" s="170"/>
      <c r="N80" s="170"/>
      <c r="O80" s="267"/>
      <c r="P80" s="267"/>
      <c r="Q80" s="267"/>
      <c r="R80" s="267"/>
      <c r="S80" s="267"/>
      <c r="T80" s="267"/>
      <c r="U80" s="267"/>
      <c r="V80" s="267"/>
      <c r="W80" s="267"/>
      <c r="X80" s="267"/>
      <c r="Y80" s="267"/>
      <c r="Z80" s="267"/>
      <c r="AA80" s="267"/>
      <c r="AB80" s="267"/>
      <c r="AC80" s="267"/>
      <c r="CG80" s="125"/>
      <c r="CH80" s="126"/>
      <c r="CO80" s="121"/>
      <c r="DN80" s="39"/>
      <c r="EJ80" t="s">
        <v>398</v>
      </c>
    </row>
    <row r="81" spans="1:140" x14ac:dyDescent="0.3">
      <c r="A81" s="170"/>
      <c r="B81" s="170"/>
      <c r="C81" s="51" t="s">
        <v>1244</v>
      </c>
      <c r="D81" s="318"/>
      <c r="E81" s="318"/>
      <c r="F81" s="318"/>
      <c r="G81" s="318"/>
      <c r="H81" s="318"/>
      <c r="I81" s="318"/>
      <c r="J81" s="318"/>
      <c r="K81" s="332"/>
      <c r="L81" s="332"/>
      <c r="M81" s="170"/>
      <c r="N81" s="170"/>
      <c r="O81" s="267"/>
      <c r="P81" s="267"/>
      <c r="Q81" s="267"/>
      <c r="R81" s="267"/>
      <c r="S81" s="267"/>
      <c r="T81" s="267"/>
      <c r="U81" s="267"/>
      <c r="V81" s="267"/>
      <c r="W81" s="267"/>
      <c r="X81" s="267"/>
      <c r="Y81" s="267"/>
      <c r="Z81" s="267"/>
      <c r="AA81" s="267"/>
      <c r="AB81" s="267"/>
      <c r="AC81" s="267"/>
      <c r="CO81" s="121"/>
      <c r="DN81" s="39"/>
      <c r="EJ81" t="s">
        <v>398</v>
      </c>
    </row>
    <row r="82" spans="1:140" x14ac:dyDescent="0.3">
      <c r="A82" s="170"/>
      <c r="B82" s="170"/>
      <c r="C82" s="170"/>
      <c r="D82" s="318"/>
      <c r="E82" s="318"/>
      <c r="F82" s="318"/>
      <c r="G82" s="318"/>
      <c r="H82" s="318"/>
      <c r="I82" s="317"/>
      <c r="J82" s="318"/>
      <c r="K82" s="332"/>
      <c r="L82" s="332"/>
      <c r="M82" s="170"/>
      <c r="N82" s="170"/>
      <c r="O82" s="267"/>
      <c r="P82" s="267"/>
      <c r="Q82" s="267"/>
      <c r="R82" s="267"/>
      <c r="S82" s="267"/>
      <c r="T82" s="267"/>
      <c r="U82" s="267"/>
      <c r="V82" s="267"/>
      <c r="W82" s="267"/>
      <c r="X82" s="267"/>
      <c r="Y82" s="267"/>
      <c r="Z82" s="267"/>
      <c r="AA82" s="267"/>
      <c r="AB82" s="267"/>
      <c r="AC82" s="267"/>
      <c r="CA82">
        <f>+CA64+CA46</f>
        <v>0</v>
      </c>
      <c r="CD82" s="42">
        <f>+CD60</f>
        <v>0</v>
      </c>
      <c r="CG82">
        <f>+CG74+CG89+CG94</f>
        <v>0</v>
      </c>
      <c r="CJ82">
        <f>IF(OR(CJ13&gt;0,CJ21&gt;0,CJ29&gt;0,CJ36&gt;0,CJ48&gt;0,CJ55&gt;0,CJ65&gt;0, CJ75&gt;0),1,0)</f>
        <v>0</v>
      </c>
      <c r="CM82">
        <f>+CM69+CM16</f>
        <v>0</v>
      </c>
      <c r="CO82" s="121"/>
      <c r="CP82">
        <f>+CP51+CP41+CP27+CP12</f>
        <v>0</v>
      </c>
      <c r="CS82">
        <f>IF(OR(CS16+CS34&gt;0,CS42&gt;1,CS46&gt;1,CS51&gt;1,CS65&gt;0),1,0)</f>
        <v>0</v>
      </c>
      <c r="CU82">
        <f>SUM(CA82:CT82)</f>
        <v>0</v>
      </c>
      <c r="DN82" s="39"/>
      <c r="EJ82" t="s">
        <v>398</v>
      </c>
    </row>
    <row r="83" spans="1:140" x14ac:dyDescent="0.3">
      <c r="A83" s="170"/>
      <c r="B83" s="170"/>
      <c r="C83" s="170"/>
      <c r="D83" s="318"/>
      <c r="E83" s="318"/>
      <c r="F83" s="318"/>
      <c r="G83" s="318"/>
      <c r="H83" s="318"/>
      <c r="I83" s="317"/>
      <c r="J83" s="318"/>
      <c r="K83" s="332"/>
      <c r="L83" s="332"/>
      <c r="M83" s="170"/>
      <c r="N83" s="170"/>
      <c r="O83" s="267"/>
      <c r="P83" s="267"/>
      <c r="Q83" s="267"/>
      <c r="R83" s="267"/>
      <c r="S83" s="267"/>
      <c r="T83" s="267"/>
      <c r="U83" s="267"/>
      <c r="V83" s="267"/>
      <c r="W83" s="267"/>
      <c r="X83" s="267"/>
      <c r="Y83" s="267"/>
      <c r="Z83" s="267"/>
      <c r="AA83" s="267"/>
      <c r="AB83" s="267"/>
      <c r="AC83" s="267"/>
      <c r="CA83" t="s">
        <v>637</v>
      </c>
      <c r="CD83" t="s">
        <v>637</v>
      </c>
      <c r="CG83" t="s">
        <v>637</v>
      </c>
      <c r="CJ83" t="s">
        <v>637</v>
      </c>
      <c r="CM83" t="s">
        <v>637</v>
      </c>
      <c r="CO83" s="121"/>
      <c r="CP83" t="s">
        <v>637</v>
      </c>
      <c r="CS83" t="s">
        <v>637</v>
      </c>
      <c r="CU83" t="s">
        <v>638</v>
      </c>
      <c r="DN83" s="39"/>
      <c r="EJ83" t="s">
        <v>398</v>
      </c>
    </row>
    <row r="84" spans="1:140" x14ac:dyDescent="0.3">
      <c r="F84" s="248"/>
      <c r="G84" s="248"/>
      <c r="H84" s="248"/>
      <c r="I84" s="248"/>
      <c r="J84" s="248"/>
      <c r="K84" s="249"/>
      <c r="L84" s="249"/>
      <c r="CO84" s="121"/>
      <c r="DN84" s="39"/>
      <c r="EJ84" t="s">
        <v>398</v>
      </c>
    </row>
    <row r="85" spans="1:140" x14ac:dyDescent="0.3">
      <c r="F85" s="248"/>
      <c r="G85" s="248"/>
      <c r="H85" s="248"/>
      <c r="I85" s="248"/>
      <c r="J85" s="248"/>
      <c r="K85" s="249"/>
      <c r="L85" s="249"/>
      <c r="AG85" s="70" t="s">
        <v>1213</v>
      </c>
      <c r="AJ85" t="s">
        <v>1214</v>
      </c>
      <c r="CO85" s="121"/>
      <c r="DN85" s="39"/>
      <c r="EJ85" t="s">
        <v>398</v>
      </c>
    </row>
    <row r="86" spans="1:140" x14ac:dyDescent="0.3">
      <c r="F86" s="249"/>
      <c r="G86" s="249"/>
      <c r="H86" s="249"/>
      <c r="J86" s="248"/>
      <c r="K86" s="249"/>
      <c r="L86" s="249"/>
      <c r="AF86">
        <v>1</v>
      </c>
      <c r="AG86" s="70" t="s">
        <v>1211</v>
      </c>
      <c r="AI86">
        <v>1</v>
      </c>
      <c r="AJ86" t="s">
        <v>1217</v>
      </c>
      <c r="CG86" s="118"/>
      <c r="CH86" s="119" t="s">
        <v>1202</v>
      </c>
      <c r="CO86" s="121"/>
      <c r="DL86" s="39"/>
      <c r="EJ86" t="s">
        <v>398</v>
      </c>
    </row>
    <row r="87" spans="1:140" x14ac:dyDescent="0.3">
      <c r="F87" s="249"/>
      <c r="G87" s="249"/>
      <c r="H87" s="249"/>
      <c r="J87" s="248"/>
      <c r="K87" s="249"/>
      <c r="L87" s="249"/>
      <c r="AF87">
        <v>2</v>
      </c>
      <c r="AG87" s="70" t="s">
        <v>1212</v>
      </c>
      <c r="AI87">
        <v>2</v>
      </c>
      <c r="AJ87" t="s">
        <v>1218</v>
      </c>
      <c r="CG87" s="120">
        <f>SUM(CG6:CG16)</f>
        <v>0</v>
      </c>
      <c r="CH87" s="122" t="s">
        <v>1199</v>
      </c>
      <c r="CO87" s="121"/>
      <c r="DL87" s="39"/>
      <c r="EJ87" t="s">
        <v>398</v>
      </c>
    </row>
    <row r="88" spans="1:140" x14ac:dyDescent="0.3">
      <c r="J88" s="249"/>
      <c r="K88" s="249"/>
      <c r="L88" s="249"/>
      <c r="AF88">
        <v>3</v>
      </c>
      <c r="AG88" s="70" t="s">
        <v>1215</v>
      </c>
      <c r="AI88">
        <v>3</v>
      </c>
      <c r="AJ88" t="s">
        <v>1220</v>
      </c>
      <c r="CG88" s="120">
        <f>+BD16</f>
        <v>0</v>
      </c>
      <c r="CH88" s="122" t="s">
        <v>1200</v>
      </c>
      <c r="CO88" s="121"/>
      <c r="DL88" s="39"/>
      <c r="EJ88" t="s">
        <v>398</v>
      </c>
    </row>
    <row r="89" spans="1:140" x14ac:dyDescent="0.3">
      <c r="J89" s="249"/>
      <c r="K89" s="249"/>
      <c r="L89" s="249"/>
      <c r="AF89">
        <v>4</v>
      </c>
      <c r="AG89" s="70" t="s">
        <v>1216</v>
      </c>
      <c r="AI89">
        <v>4</v>
      </c>
      <c r="AJ89" t="s">
        <v>1221</v>
      </c>
      <c r="CG89" s="123">
        <f>+CG88*CG87</f>
        <v>0</v>
      </c>
      <c r="CH89" s="124" t="s">
        <v>1201</v>
      </c>
      <c r="CO89" s="121"/>
      <c r="DL89" s="39"/>
      <c r="EJ89" t="s">
        <v>398</v>
      </c>
    </row>
    <row r="90" spans="1:140" x14ac:dyDescent="0.3">
      <c r="AF90">
        <v>5</v>
      </c>
      <c r="AG90" s="70" t="s">
        <v>1219</v>
      </c>
      <c r="AI90">
        <v>5</v>
      </c>
      <c r="AJ90" t="s">
        <v>1222</v>
      </c>
      <c r="CG90" s="125"/>
      <c r="CH90" s="126"/>
      <c r="CO90" s="121"/>
      <c r="DL90" s="39"/>
      <c r="EJ90" t="s">
        <v>398</v>
      </c>
    </row>
    <row r="91" spans="1:140" x14ac:dyDescent="0.3">
      <c r="AF91">
        <v>6</v>
      </c>
      <c r="AG91" s="70" t="s">
        <v>1223</v>
      </c>
      <c r="AI91">
        <v>6</v>
      </c>
      <c r="AJ91" t="s">
        <v>1224</v>
      </c>
      <c r="CO91" s="121"/>
      <c r="DL91" s="39"/>
      <c r="EJ91" t="s">
        <v>398</v>
      </c>
    </row>
    <row r="92" spans="1:140" x14ac:dyDescent="0.3">
      <c r="AF92">
        <v>7</v>
      </c>
      <c r="AI92">
        <v>7</v>
      </c>
      <c r="AJ92" t="s">
        <v>1225</v>
      </c>
      <c r="CG92" s="118"/>
      <c r="CH92" s="119" t="s">
        <v>1203</v>
      </c>
      <c r="CO92" s="121"/>
      <c r="DL92" s="39"/>
      <c r="EJ92" t="s">
        <v>398</v>
      </c>
    </row>
    <row r="93" spans="1:140" x14ac:dyDescent="0.3">
      <c r="AF93">
        <v>8</v>
      </c>
      <c r="AI93">
        <v>8</v>
      </c>
      <c r="AJ93" t="s">
        <v>1226</v>
      </c>
      <c r="CG93" s="120">
        <f>+BC7</f>
        <v>0</v>
      </c>
      <c r="CH93" s="122" t="s">
        <v>1204</v>
      </c>
      <c r="CO93" s="121"/>
      <c r="DL93" s="39"/>
      <c r="EJ93" t="s">
        <v>398</v>
      </c>
    </row>
    <row r="94" spans="1:140" x14ac:dyDescent="0.3">
      <c r="AF94">
        <v>9</v>
      </c>
      <c r="AI94">
        <v>9</v>
      </c>
      <c r="CG94" s="123">
        <f>+CG93*CG88</f>
        <v>0</v>
      </c>
      <c r="CH94" s="124" t="s">
        <v>1205</v>
      </c>
      <c r="CO94" s="121"/>
      <c r="DL94" s="39"/>
      <c r="EJ94" t="s">
        <v>398</v>
      </c>
    </row>
    <row r="95" spans="1:140" x14ac:dyDescent="0.3">
      <c r="AF95">
        <v>10</v>
      </c>
      <c r="AI95">
        <v>10</v>
      </c>
      <c r="CG95" s="125"/>
      <c r="CH95" s="126"/>
      <c r="CO95" s="121"/>
      <c r="DL95" s="39"/>
      <c r="EJ95" t="s">
        <v>398</v>
      </c>
    </row>
    <row r="96" spans="1:140" x14ac:dyDescent="0.3">
      <c r="CO96" s="121"/>
      <c r="DL96" s="39"/>
      <c r="EJ96" t="s">
        <v>398</v>
      </c>
    </row>
    <row r="97" spans="93:140" x14ac:dyDescent="0.3">
      <c r="CO97" s="121"/>
      <c r="DL97" s="39"/>
      <c r="EJ97" t="s">
        <v>398</v>
      </c>
    </row>
    <row r="98" spans="93:140" x14ac:dyDescent="0.3">
      <c r="CO98" s="121"/>
      <c r="DL98" s="39"/>
      <c r="EJ98" t="s">
        <v>398</v>
      </c>
    </row>
    <row r="99" spans="93:140" x14ac:dyDescent="0.3">
      <c r="CO99" s="121"/>
      <c r="DL99" s="39"/>
      <c r="EJ99" t="s">
        <v>398</v>
      </c>
    </row>
    <row r="100" spans="93:140" x14ac:dyDescent="0.3">
      <c r="CO100" s="121"/>
      <c r="DL100" s="39"/>
      <c r="EJ100" t="s">
        <v>398</v>
      </c>
    </row>
    <row r="101" spans="93:140" x14ac:dyDescent="0.3">
      <c r="CO101" s="121"/>
      <c r="DL101" s="39"/>
      <c r="EJ101" t="s">
        <v>398</v>
      </c>
    </row>
    <row r="102" spans="93:140" x14ac:dyDescent="0.3">
      <c r="CO102" s="121"/>
      <c r="DL102" s="39"/>
      <c r="EJ102" t="s">
        <v>398</v>
      </c>
    </row>
    <row r="103" spans="93:140" x14ac:dyDescent="0.3">
      <c r="CO103" s="121"/>
      <c r="DL103" s="39"/>
      <c r="EJ103" t="s">
        <v>398</v>
      </c>
    </row>
    <row r="104" spans="93:140" x14ac:dyDescent="0.3">
      <c r="CO104" s="121"/>
      <c r="DL104" s="39"/>
      <c r="EJ104" t="s">
        <v>398</v>
      </c>
    </row>
    <row r="105" spans="93:140" x14ac:dyDescent="0.3">
      <c r="CO105" s="121"/>
      <c r="DL105" s="39"/>
      <c r="EJ105" t="s">
        <v>398</v>
      </c>
    </row>
    <row r="106" spans="93:140" x14ac:dyDescent="0.3">
      <c r="CO106" s="121"/>
      <c r="DL106" s="39"/>
      <c r="EJ106" t="s">
        <v>398</v>
      </c>
    </row>
    <row r="107" spans="93:140" x14ac:dyDescent="0.3">
      <c r="CO107" s="121"/>
      <c r="DL107" s="39"/>
      <c r="EJ107" t="s">
        <v>398</v>
      </c>
    </row>
    <row r="108" spans="93:140" x14ac:dyDescent="0.3">
      <c r="CO108" s="121"/>
      <c r="DL108" s="39"/>
      <c r="EJ108" t="s">
        <v>398</v>
      </c>
    </row>
    <row r="109" spans="93:140" x14ac:dyDescent="0.3">
      <c r="CO109" s="121"/>
      <c r="DL109" s="39"/>
      <c r="EJ109" t="s">
        <v>398</v>
      </c>
    </row>
    <row r="110" spans="93:140" x14ac:dyDescent="0.3">
      <c r="CO110" s="121"/>
      <c r="DL110" s="39"/>
      <c r="EJ110" t="s">
        <v>398</v>
      </c>
    </row>
    <row r="111" spans="93:140" x14ac:dyDescent="0.3">
      <c r="CO111" s="121"/>
      <c r="DL111" s="39"/>
      <c r="EJ111" t="s">
        <v>398</v>
      </c>
    </row>
    <row r="112" spans="93:140" x14ac:dyDescent="0.3">
      <c r="CO112" s="121"/>
      <c r="DL112" s="39"/>
      <c r="EJ112" t="s">
        <v>398</v>
      </c>
    </row>
    <row r="113" spans="93:140" x14ac:dyDescent="0.3">
      <c r="CO113" s="121"/>
      <c r="DL113" s="39"/>
      <c r="EJ113" t="s">
        <v>398</v>
      </c>
    </row>
    <row r="114" spans="93:140" x14ac:dyDescent="0.3">
      <c r="CO114" s="121"/>
      <c r="DL114" s="39"/>
      <c r="EJ114" t="s">
        <v>398</v>
      </c>
    </row>
    <row r="115" spans="93:140" x14ac:dyDescent="0.3">
      <c r="CO115" s="121"/>
      <c r="DL115" s="39"/>
      <c r="EJ115" t="s">
        <v>398</v>
      </c>
    </row>
    <row r="116" spans="93:140" x14ac:dyDescent="0.3">
      <c r="CO116" s="121"/>
      <c r="DL116" s="39"/>
      <c r="EJ116" t="s">
        <v>398</v>
      </c>
    </row>
    <row r="117" spans="93:140" x14ac:dyDescent="0.3">
      <c r="CO117" s="121"/>
      <c r="DL117" s="39"/>
      <c r="EJ117" t="s">
        <v>398</v>
      </c>
    </row>
    <row r="118" spans="93:140" x14ac:dyDescent="0.3">
      <c r="CO118" s="121"/>
      <c r="DL118" s="39"/>
      <c r="EJ118" t="s">
        <v>398</v>
      </c>
    </row>
    <row r="119" spans="93:140" x14ac:dyDescent="0.3">
      <c r="CO119" s="121"/>
      <c r="DL119" s="39"/>
      <c r="EJ119" t="s">
        <v>398</v>
      </c>
    </row>
    <row r="120" spans="93:140" x14ac:dyDescent="0.3">
      <c r="CO120" s="121"/>
      <c r="DL120" s="39"/>
      <c r="EJ120" t="s">
        <v>398</v>
      </c>
    </row>
    <row r="121" spans="93:140" x14ac:dyDescent="0.3">
      <c r="CO121" s="121"/>
      <c r="DL121" s="39"/>
      <c r="EJ121" t="s">
        <v>398</v>
      </c>
    </row>
    <row r="122" spans="93:140" x14ac:dyDescent="0.3">
      <c r="CO122" s="121"/>
      <c r="DL122" s="39"/>
      <c r="EJ122" t="s">
        <v>398</v>
      </c>
    </row>
    <row r="123" spans="93:140" x14ac:dyDescent="0.3">
      <c r="CO123" s="121"/>
      <c r="DL123" s="39"/>
      <c r="EJ123" t="s">
        <v>398</v>
      </c>
    </row>
    <row r="124" spans="93:140" x14ac:dyDescent="0.3">
      <c r="CO124" s="121"/>
      <c r="DL124" s="39"/>
      <c r="EJ124" t="s">
        <v>398</v>
      </c>
    </row>
    <row r="125" spans="93:140" x14ac:dyDescent="0.3">
      <c r="CO125" s="121"/>
      <c r="DL125" s="39"/>
      <c r="EJ125" t="s">
        <v>398</v>
      </c>
    </row>
    <row r="126" spans="93:140" x14ac:dyDescent="0.3">
      <c r="CO126" s="121"/>
      <c r="DL126" s="39"/>
      <c r="EJ126" t="s">
        <v>398</v>
      </c>
    </row>
    <row r="127" spans="93:140" x14ac:dyDescent="0.3">
      <c r="CO127" s="121"/>
      <c r="DL127" s="39"/>
      <c r="EJ127" t="s">
        <v>398</v>
      </c>
    </row>
    <row r="128" spans="93:140" x14ac:dyDescent="0.3">
      <c r="CO128" s="121"/>
      <c r="DL128" s="39"/>
      <c r="EJ128" t="s">
        <v>398</v>
      </c>
    </row>
    <row r="129" spans="93:140" x14ac:dyDescent="0.3">
      <c r="CO129" s="121"/>
      <c r="DL129" s="39"/>
      <c r="EJ129" t="s">
        <v>398</v>
      </c>
    </row>
    <row r="130" spans="93:140" x14ac:dyDescent="0.3">
      <c r="CO130" s="121"/>
      <c r="DL130" s="39"/>
      <c r="EJ130" t="s">
        <v>398</v>
      </c>
    </row>
    <row r="131" spans="93:140" x14ac:dyDescent="0.3">
      <c r="CO131" s="121"/>
      <c r="DL131" s="39"/>
      <c r="EJ131" t="s">
        <v>398</v>
      </c>
    </row>
    <row r="132" spans="93:140" x14ac:dyDescent="0.3">
      <c r="CO132" s="121"/>
      <c r="DL132" s="39"/>
      <c r="EJ132" t="s">
        <v>398</v>
      </c>
    </row>
    <row r="133" spans="93:140" x14ac:dyDescent="0.3">
      <c r="CO133" s="121"/>
      <c r="DL133" s="39"/>
      <c r="EJ133" t="s">
        <v>398</v>
      </c>
    </row>
    <row r="134" spans="93:140" x14ac:dyDescent="0.3">
      <c r="CO134" s="121"/>
      <c r="DL134" s="39"/>
      <c r="EJ134" t="s">
        <v>398</v>
      </c>
    </row>
    <row r="135" spans="93:140" x14ac:dyDescent="0.3">
      <c r="CO135" s="121"/>
      <c r="DL135" s="39"/>
      <c r="EJ135" t="s">
        <v>398</v>
      </c>
    </row>
    <row r="136" spans="93:140" x14ac:dyDescent="0.3">
      <c r="CO136" s="121"/>
      <c r="DL136" s="39"/>
      <c r="EJ136" t="s">
        <v>398</v>
      </c>
    </row>
    <row r="137" spans="93:140" x14ac:dyDescent="0.3">
      <c r="CO137" s="121"/>
      <c r="DL137" s="39"/>
      <c r="EJ137" t="s">
        <v>398</v>
      </c>
    </row>
    <row r="138" spans="93:140" x14ac:dyDescent="0.3">
      <c r="CO138" s="121"/>
      <c r="DL138" s="39"/>
      <c r="EJ138" t="s">
        <v>398</v>
      </c>
    </row>
    <row r="139" spans="93:140" x14ac:dyDescent="0.3">
      <c r="CO139" s="121"/>
      <c r="DL139" s="39"/>
      <c r="EJ139" t="s">
        <v>398</v>
      </c>
    </row>
    <row r="140" spans="93:140" x14ac:dyDescent="0.3">
      <c r="CO140" s="121"/>
      <c r="DL140" s="39"/>
      <c r="EJ140" t="s">
        <v>398</v>
      </c>
    </row>
    <row r="141" spans="93:140" x14ac:dyDescent="0.3">
      <c r="CO141" s="121"/>
      <c r="DL141" s="39"/>
      <c r="EJ141" t="s">
        <v>398</v>
      </c>
    </row>
    <row r="142" spans="93:140" x14ac:dyDescent="0.3">
      <c r="CO142" s="121"/>
      <c r="DL142" s="39"/>
      <c r="EJ142" t="s">
        <v>398</v>
      </c>
    </row>
    <row r="143" spans="93:140" x14ac:dyDescent="0.3">
      <c r="CO143" s="121"/>
      <c r="DL143" s="39"/>
      <c r="EJ143" t="s">
        <v>398</v>
      </c>
    </row>
    <row r="144" spans="93:140" x14ac:dyDescent="0.3">
      <c r="CO144" s="121"/>
      <c r="DL144" s="39"/>
      <c r="EJ144" t="s">
        <v>398</v>
      </c>
    </row>
    <row r="145" spans="93:140" x14ac:dyDescent="0.3">
      <c r="CO145" s="121"/>
      <c r="DL145" s="39"/>
      <c r="EJ145" t="s">
        <v>398</v>
      </c>
    </row>
    <row r="146" spans="93:140" x14ac:dyDescent="0.3">
      <c r="CO146" s="121"/>
      <c r="DL146" s="39"/>
      <c r="EJ146" t="s">
        <v>398</v>
      </c>
    </row>
    <row r="147" spans="93:140" x14ac:dyDescent="0.3">
      <c r="CO147" s="121"/>
      <c r="DL147" s="39"/>
      <c r="EJ147" t="s">
        <v>398</v>
      </c>
    </row>
    <row r="148" spans="93:140" x14ac:dyDescent="0.3">
      <c r="CO148" s="121"/>
      <c r="DL148" s="39"/>
      <c r="EJ148" t="s">
        <v>398</v>
      </c>
    </row>
    <row r="149" spans="93:140" x14ac:dyDescent="0.3">
      <c r="CO149" s="121"/>
      <c r="DL149" s="39"/>
      <c r="EJ149" t="s">
        <v>398</v>
      </c>
    </row>
    <row r="150" spans="93:140" x14ac:dyDescent="0.3">
      <c r="CO150" s="121"/>
      <c r="DL150" s="39"/>
      <c r="EJ150" t="s">
        <v>398</v>
      </c>
    </row>
    <row r="151" spans="93:140" x14ac:dyDescent="0.3">
      <c r="DL151" s="39"/>
      <c r="EJ151" t="s">
        <v>398</v>
      </c>
    </row>
    <row r="152" spans="93:140" x14ac:dyDescent="0.3">
      <c r="DL152" s="39"/>
      <c r="EJ152" t="s">
        <v>398</v>
      </c>
    </row>
    <row r="153" spans="93:140" x14ac:dyDescent="0.3">
      <c r="DL153" s="39"/>
      <c r="EJ153" t="s">
        <v>398</v>
      </c>
    </row>
    <row r="154" spans="93:140" x14ac:dyDescent="0.3">
      <c r="DL154" s="39"/>
      <c r="EJ154" t="s">
        <v>398</v>
      </c>
    </row>
    <row r="155" spans="93:140" x14ac:dyDescent="0.3">
      <c r="EJ155" t="s">
        <v>398</v>
      </c>
    </row>
    <row r="156" spans="93:140" x14ac:dyDescent="0.3">
      <c r="EJ156" t="s">
        <v>398</v>
      </c>
    </row>
    <row r="157" spans="93:140" x14ac:dyDescent="0.3">
      <c r="EJ157" t="s">
        <v>398</v>
      </c>
    </row>
    <row r="158" spans="93:140" x14ac:dyDescent="0.3">
      <c r="EJ158" t="s">
        <v>398</v>
      </c>
    </row>
    <row r="159" spans="93:140" x14ac:dyDescent="0.3">
      <c r="EJ159" t="s">
        <v>398</v>
      </c>
    </row>
    <row r="160" spans="93:140" x14ac:dyDescent="0.3">
      <c r="EJ160" t="s">
        <v>398</v>
      </c>
    </row>
    <row r="161" spans="140:140" x14ac:dyDescent="0.3">
      <c r="EJ161" t="s">
        <v>398</v>
      </c>
    </row>
    <row r="162" spans="140:140" x14ac:dyDescent="0.3">
      <c r="EJ162" t="s">
        <v>398</v>
      </c>
    </row>
    <row r="163" spans="140:140" x14ac:dyDescent="0.3">
      <c r="EJ163" t="s">
        <v>398</v>
      </c>
    </row>
    <row r="164" spans="140:140" x14ac:dyDescent="0.3">
      <c r="EJ164" t="s">
        <v>398</v>
      </c>
    </row>
    <row r="165" spans="140:140" x14ac:dyDescent="0.3">
      <c r="EJ165" t="s">
        <v>398</v>
      </c>
    </row>
    <row r="166" spans="140:140" x14ac:dyDescent="0.3">
      <c r="EJ166" t="s">
        <v>398</v>
      </c>
    </row>
    <row r="167" spans="140:140" x14ac:dyDescent="0.3">
      <c r="EJ167" t="s">
        <v>398</v>
      </c>
    </row>
    <row r="168" spans="140:140" x14ac:dyDescent="0.3">
      <c r="EJ168" t="s">
        <v>398</v>
      </c>
    </row>
    <row r="169" spans="140:140" x14ac:dyDescent="0.3">
      <c r="EJ169" t="s">
        <v>398</v>
      </c>
    </row>
    <row r="170" spans="140:140" x14ac:dyDescent="0.3">
      <c r="EJ170" t="s">
        <v>398</v>
      </c>
    </row>
    <row r="171" spans="140:140" x14ac:dyDescent="0.3">
      <c r="EJ171" t="s">
        <v>398</v>
      </c>
    </row>
    <row r="172" spans="140:140" x14ac:dyDescent="0.3">
      <c r="EJ172" t="s">
        <v>398</v>
      </c>
    </row>
    <row r="173" spans="140:140" x14ac:dyDescent="0.3">
      <c r="EJ173" t="s">
        <v>398</v>
      </c>
    </row>
    <row r="174" spans="140:140" x14ac:dyDescent="0.3">
      <c r="EJ174" t="s">
        <v>398</v>
      </c>
    </row>
    <row r="175" spans="140:140" x14ac:dyDescent="0.3">
      <c r="EJ175" t="s">
        <v>398</v>
      </c>
    </row>
    <row r="176" spans="140:140" x14ac:dyDescent="0.3">
      <c r="EJ176" t="s">
        <v>398</v>
      </c>
    </row>
    <row r="177" spans="1:140" x14ac:dyDescent="0.3">
      <c r="I177" s="274"/>
      <c r="EJ177" t="s">
        <v>398</v>
      </c>
    </row>
    <row r="178" spans="1:140" x14ac:dyDescent="0.3">
      <c r="I178" s="274"/>
      <c r="EJ178" t="s">
        <v>398</v>
      </c>
    </row>
    <row r="179" spans="1:140" x14ac:dyDescent="0.3">
      <c r="G179" s="252"/>
      <c r="I179" s="274"/>
      <c r="EJ179" t="s">
        <v>398</v>
      </c>
    </row>
    <row r="180" spans="1:140" x14ac:dyDescent="0.3">
      <c r="I180" s="274"/>
      <c r="EJ180" t="s">
        <v>398</v>
      </c>
    </row>
    <row r="181" spans="1:140" x14ac:dyDescent="0.3">
      <c r="F181" s="274"/>
      <c r="G181" s="274"/>
      <c r="H181" s="274"/>
      <c r="I181" s="274"/>
      <c r="K181" s="252"/>
      <c r="P181" s="252"/>
      <c r="EJ181" t="s">
        <v>398</v>
      </c>
    </row>
    <row r="182" spans="1:140" x14ac:dyDescent="0.3">
      <c r="F182" s="274"/>
      <c r="G182" s="274"/>
      <c r="H182" s="274"/>
      <c r="I182" s="274"/>
      <c r="EJ182" t="s">
        <v>398</v>
      </c>
    </row>
    <row r="183" spans="1:140" x14ac:dyDescent="0.3">
      <c r="E183" s="254"/>
      <c r="F183" s="274"/>
      <c r="G183" s="274"/>
      <c r="H183" s="274"/>
      <c r="I183" s="274"/>
      <c r="J183" s="274"/>
      <c r="K183" s="274"/>
      <c r="L183" s="274"/>
      <c r="M183" s="274"/>
      <c r="N183" s="274"/>
      <c r="O183" s="276"/>
      <c r="P183" s="276"/>
      <c r="Q183" s="276"/>
      <c r="R183" s="276"/>
      <c r="S183" s="276"/>
      <c r="T183" s="276"/>
      <c r="U183" s="276"/>
      <c r="V183" s="276"/>
      <c r="W183" s="276"/>
      <c r="EJ183" t="s">
        <v>398</v>
      </c>
    </row>
    <row r="184" spans="1:140" x14ac:dyDescent="0.3">
      <c r="E184" s="254"/>
      <c r="F184" s="274"/>
      <c r="G184" s="274"/>
      <c r="H184" s="274"/>
      <c r="I184" s="274"/>
      <c r="J184" s="274"/>
      <c r="K184" s="274"/>
      <c r="L184" s="274"/>
      <c r="M184" s="274"/>
      <c r="N184" s="274"/>
      <c r="O184" s="276"/>
      <c r="P184" s="276"/>
      <c r="Q184" s="276"/>
      <c r="R184" s="276"/>
      <c r="S184" s="276"/>
      <c r="T184" s="276"/>
      <c r="U184" s="276"/>
      <c r="V184" s="276"/>
      <c r="W184" s="276"/>
      <c r="EJ184" t="s">
        <v>398</v>
      </c>
    </row>
    <row r="185" spans="1:140" x14ac:dyDescent="0.3">
      <c r="E185" s="254"/>
      <c r="F185" s="274"/>
      <c r="G185" s="274"/>
      <c r="H185" s="274"/>
      <c r="I185" s="274"/>
      <c r="J185" s="274"/>
      <c r="K185" s="274"/>
      <c r="L185" s="274"/>
      <c r="M185" s="274"/>
      <c r="N185" s="274"/>
      <c r="O185" s="276"/>
      <c r="P185" s="276"/>
      <c r="Q185" s="276"/>
      <c r="R185" s="276"/>
      <c r="S185" s="276"/>
      <c r="T185" s="276"/>
      <c r="U185" s="276"/>
      <c r="V185" s="276"/>
      <c r="W185" s="276"/>
      <c r="EJ185" t="s">
        <v>398</v>
      </c>
    </row>
    <row r="186" spans="1:140" x14ac:dyDescent="0.3">
      <c r="E186" s="254"/>
      <c r="F186" s="274"/>
      <c r="G186" s="274"/>
      <c r="H186" s="274"/>
      <c r="I186" s="274"/>
      <c r="J186" s="274"/>
      <c r="K186" s="274"/>
      <c r="L186" s="274"/>
      <c r="M186" s="274"/>
      <c r="N186" s="274"/>
      <c r="O186" s="276"/>
      <c r="P186" s="276"/>
      <c r="Q186" s="276"/>
      <c r="R186" s="276"/>
      <c r="S186" s="276"/>
      <c r="T186" s="276"/>
      <c r="U186" s="276"/>
      <c r="V186" s="276"/>
      <c r="W186" s="276"/>
      <c r="EJ186" t="s">
        <v>398</v>
      </c>
    </row>
    <row r="187" spans="1:140" x14ac:dyDescent="0.3">
      <c r="E187" s="254"/>
      <c r="F187" s="274"/>
      <c r="G187" s="274"/>
      <c r="H187" s="274"/>
      <c r="I187" s="274"/>
      <c r="J187" s="274"/>
      <c r="K187" s="274"/>
      <c r="L187" s="274"/>
      <c r="M187" s="274"/>
      <c r="N187" s="274"/>
      <c r="O187" s="276"/>
      <c r="P187" s="276"/>
      <c r="Q187" s="276"/>
      <c r="R187" s="276"/>
      <c r="S187" s="276"/>
      <c r="T187" s="276"/>
      <c r="U187" s="276"/>
      <c r="V187" s="276"/>
      <c r="W187" s="276"/>
      <c r="EJ187" t="s">
        <v>398</v>
      </c>
    </row>
    <row r="188" spans="1:140" x14ac:dyDescent="0.3">
      <c r="E188" s="254"/>
      <c r="F188" s="274"/>
      <c r="G188" s="274"/>
      <c r="H188" s="274"/>
      <c r="I188" s="274"/>
      <c r="J188" s="274"/>
      <c r="K188" s="274"/>
      <c r="L188" s="274"/>
      <c r="M188" s="274"/>
      <c r="N188" s="274"/>
      <c r="O188" s="276"/>
      <c r="P188" s="276"/>
      <c r="Q188" s="276"/>
      <c r="R188" s="276"/>
      <c r="S188" s="276"/>
      <c r="T188" s="276"/>
      <c r="U188" s="276"/>
      <c r="V188" s="276"/>
      <c r="W188" s="276"/>
      <c r="EJ188" t="s">
        <v>398</v>
      </c>
    </row>
    <row r="189" spans="1:140" x14ac:dyDescent="0.3">
      <c r="E189" s="254"/>
      <c r="F189" s="274"/>
      <c r="G189" s="274"/>
      <c r="H189" s="274"/>
      <c r="I189" s="274"/>
      <c r="J189" s="274"/>
      <c r="K189" s="274"/>
      <c r="L189" s="274"/>
      <c r="M189" s="274"/>
      <c r="N189" s="274"/>
      <c r="O189" s="276"/>
      <c r="P189" s="276"/>
      <c r="Q189" s="276"/>
      <c r="R189" s="276"/>
      <c r="S189" s="276"/>
      <c r="T189" s="276"/>
      <c r="U189" s="276"/>
      <c r="V189" s="276"/>
      <c r="W189" s="276"/>
      <c r="EJ189" t="s">
        <v>398</v>
      </c>
    </row>
    <row r="190" spans="1:140" x14ac:dyDescent="0.3">
      <c r="E190" s="254"/>
      <c r="F190" s="274"/>
      <c r="G190" s="274"/>
      <c r="H190" s="274"/>
      <c r="I190" s="274"/>
      <c r="J190" s="274"/>
      <c r="K190" s="274"/>
      <c r="L190" s="274"/>
      <c r="M190" s="274"/>
      <c r="N190" s="274"/>
      <c r="O190" s="276"/>
      <c r="P190" s="276"/>
      <c r="Q190" s="276"/>
      <c r="R190" s="276"/>
      <c r="S190" s="276"/>
      <c r="T190" s="276"/>
      <c r="U190" s="276"/>
      <c r="V190" s="276"/>
      <c r="W190" s="276"/>
      <c r="EJ190" t="s">
        <v>398</v>
      </c>
    </row>
    <row r="191" spans="1:140" ht="18" x14ac:dyDescent="0.35">
      <c r="A191" s="274"/>
      <c r="B191" s="274"/>
      <c r="C191" s="275"/>
      <c r="D191" s="254"/>
      <c r="E191" s="254"/>
      <c r="F191" s="274"/>
      <c r="G191" s="274"/>
      <c r="H191" s="274"/>
      <c r="I191" s="274"/>
      <c r="J191" s="274"/>
      <c r="K191" s="274"/>
      <c r="L191" s="274"/>
      <c r="M191" s="274"/>
      <c r="N191" s="274"/>
      <c r="O191" s="276"/>
      <c r="P191" s="276"/>
      <c r="Q191" s="276"/>
      <c r="R191" s="276"/>
      <c r="S191" s="276"/>
      <c r="T191" s="276"/>
      <c r="U191" s="276"/>
      <c r="V191" s="276"/>
      <c r="W191" s="276"/>
      <c r="EJ191" t="s">
        <v>398</v>
      </c>
    </row>
    <row r="192" spans="1:140" ht="18" x14ac:dyDescent="0.35">
      <c r="A192" s="274"/>
      <c r="B192" s="274"/>
      <c r="C192" s="275"/>
      <c r="D192" s="254"/>
      <c r="E192" s="254"/>
      <c r="F192" s="274"/>
      <c r="G192" s="277"/>
      <c r="H192" s="274"/>
      <c r="I192" s="274"/>
      <c r="J192" s="274"/>
      <c r="K192" s="274"/>
      <c r="L192" s="274"/>
      <c r="M192" s="274"/>
      <c r="N192" s="274"/>
      <c r="O192" s="276"/>
      <c r="P192" s="276"/>
      <c r="Q192" s="276"/>
      <c r="R192" s="276"/>
      <c r="S192" s="276"/>
      <c r="T192" s="276"/>
      <c r="U192" s="276"/>
      <c r="V192" s="276"/>
      <c r="W192" s="276"/>
      <c r="EJ192" t="s">
        <v>398</v>
      </c>
    </row>
    <row r="193" spans="1:140" x14ac:dyDescent="0.3">
      <c r="A193" s="274"/>
      <c r="B193" s="274"/>
      <c r="C193" s="274"/>
      <c r="D193" s="254"/>
      <c r="E193" s="254"/>
      <c r="F193" s="274"/>
      <c r="G193" s="274"/>
      <c r="H193" s="274"/>
      <c r="I193" s="274"/>
      <c r="J193" s="274"/>
      <c r="K193" s="274"/>
      <c r="L193" s="274"/>
      <c r="M193" s="274"/>
      <c r="N193" s="274"/>
      <c r="O193" s="276"/>
      <c r="P193" s="276"/>
      <c r="Q193" s="276"/>
      <c r="R193" s="276"/>
      <c r="S193" s="276"/>
      <c r="T193" s="276"/>
      <c r="U193" s="276"/>
      <c r="V193" s="276"/>
      <c r="W193" s="276"/>
      <c r="EJ193" t="s">
        <v>398</v>
      </c>
    </row>
    <row r="194" spans="1:140" x14ac:dyDescent="0.3">
      <c r="A194" s="274"/>
      <c r="B194" s="274"/>
      <c r="C194" s="274"/>
      <c r="D194" s="254"/>
      <c r="E194" s="254"/>
      <c r="F194" s="274"/>
      <c r="G194" s="274"/>
      <c r="H194" s="274"/>
      <c r="I194" s="274"/>
      <c r="J194" s="274"/>
      <c r="K194" s="277"/>
      <c r="L194" s="277"/>
      <c r="M194" s="274"/>
      <c r="N194" s="274"/>
      <c r="O194" s="276"/>
      <c r="P194" s="278"/>
      <c r="Q194" s="276"/>
      <c r="R194" s="276"/>
      <c r="S194" s="276"/>
      <c r="T194" s="276"/>
      <c r="U194" s="276"/>
      <c r="V194" s="276"/>
      <c r="W194" s="276"/>
      <c r="EJ194" t="s">
        <v>398</v>
      </c>
    </row>
    <row r="195" spans="1:140" x14ac:dyDescent="0.3">
      <c r="A195" s="274"/>
      <c r="B195" s="274"/>
      <c r="C195" s="274"/>
      <c r="D195" s="254"/>
      <c r="E195" s="254"/>
      <c r="F195" s="274"/>
      <c r="G195" s="274"/>
      <c r="H195" s="274"/>
      <c r="I195" s="274"/>
      <c r="J195" s="274"/>
      <c r="K195" s="274"/>
      <c r="L195" s="274"/>
      <c r="M195" s="274"/>
      <c r="N195" s="274"/>
      <c r="O195" s="276"/>
      <c r="P195" s="276"/>
      <c r="Q195" s="276"/>
      <c r="R195" s="276"/>
      <c r="S195" s="276"/>
      <c r="T195" s="276"/>
      <c r="U195" s="276"/>
      <c r="V195" s="276"/>
      <c r="W195" s="276"/>
      <c r="EJ195" t="s">
        <v>398</v>
      </c>
    </row>
    <row r="196" spans="1:140" x14ac:dyDescent="0.3">
      <c r="A196" s="274"/>
      <c r="B196" s="274"/>
      <c r="C196" s="274"/>
      <c r="D196" s="254"/>
      <c r="E196" s="254"/>
      <c r="F196" s="274"/>
      <c r="G196" s="274"/>
      <c r="H196" s="274"/>
      <c r="I196" s="274"/>
      <c r="J196" s="274"/>
      <c r="K196" s="274"/>
      <c r="L196" s="274"/>
      <c r="M196" s="274"/>
      <c r="N196" s="274"/>
      <c r="O196" s="276"/>
      <c r="P196" s="276"/>
      <c r="Q196" s="276"/>
      <c r="R196" s="276"/>
      <c r="S196" s="276"/>
      <c r="T196" s="276"/>
      <c r="U196" s="276"/>
      <c r="V196" s="276"/>
      <c r="W196" s="276"/>
      <c r="EJ196" t="s">
        <v>398</v>
      </c>
    </row>
    <row r="197" spans="1:140" x14ac:dyDescent="0.3">
      <c r="A197" s="274"/>
      <c r="B197" s="274"/>
      <c r="C197" s="274"/>
      <c r="D197" s="254"/>
      <c r="E197" s="254"/>
      <c r="F197" s="274"/>
      <c r="G197" s="274"/>
      <c r="H197" s="274"/>
      <c r="I197" s="274"/>
      <c r="J197" s="274"/>
      <c r="K197" s="274"/>
      <c r="L197" s="274"/>
      <c r="M197" s="274"/>
      <c r="N197" s="274"/>
      <c r="O197" s="276"/>
      <c r="P197" s="276"/>
      <c r="Q197" s="276"/>
      <c r="R197" s="276"/>
      <c r="S197" s="276"/>
      <c r="T197" s="276"/>
      <c r="U197" s="276"/>
      <c r="V197" s="276"/>
      <c r="W197" s="276"/>
      <c r="EJ197" t="s">
        <v>398</v>
      </c>
    </row>
    <row r="198" spans="1:140" ht="21" x14ac:dyDescent="0.4">
      <c r="A198" s="274"/>
      <c r="B198" s="274"/>
      <c r="C198" s="274"/>
      <c r="D198" s="254"/>
      <c r="E198" s="254"/>
      <c r="F198" s="279"/>
      <c r="G198" s="279"/>
      <c r="H198" s="274"/>
      <c r="I198" s="274"/>
      <c r="J198" s="274"/>
      <c r="K198" s="274"/>
      <c r="L198" s="274"/>
      <c r="M198" s="274"/>
      <c r="N198" s="274"/>
      <c r="O198" s="276"/>
      <c r="P198" s="276"/>
      <c r="Q198" s="276"/>
      <c r="R198" s="276"/>
      <c r="S198" s="276"/>
      <c r="T198" s="276"/>
      <c r="U198" s="276"/>
      <c r="V198" s="276"/>
      <c r="W198" s="276"/>
      <c r="EJ198" t="s">
        <v>398</v>
      </c>
    </row>
    <row r="199" spans="1:140" x14ac:dyDescent="0.3">
      <c r="A199" s="274"/>
      <c r="B199" s="274"/>
      <c r="C199" s="274"/>
      <c r="D199" s="254"/>
      <c r="E199" s="254"/>
      <c r="F199" s="274"/>
      <c r="G199" s="274"/>
      <c r="H199" s="274"/>
      <c r="I199" s="274"/>
      <c r="J199" s="274"/>
      <c r="K199" s="274"/>
      <c r="L199" s="274"/>
      <c r="M199" s="274"/>
      <c r="N199" s="274"/>
      <c r="O199" s="276"/>
      <c r="P199" s="276"/>
      <c r="Q199" s="276"/>
      <c r="R199" s="276"/>
      <c r="S199" s="276"/>
      <c r="T199" s="276"/>
      <c r="U199" s="276"/>
      <c r="V199" s="276"/>
      <c r="W199" s="276"/>
      <c r="EJ199" t="s">
        <v>398</v>
      </c>
    </row>
    <row r="200" spans="1:140" ht="21" x14ac:dyDescent="0.4">
      <c r="A200" s="274"/>
      <c r="B200" s="274"/>
      <c r="C200" s="274"/>
      <c r="D200" s="254"/>
      <c r="E200" s="279"/>
      <c r="F200" s="274"/>
      <c r="G200" s="274"/>
      <c r="H200" s="274"/>
      <c r="I200" s="274"/>
      <c r="J200" s="274"/>
      <c r="K200" s="274"/>
      <c r="L200" s="274"/>
      <c r="M200" s="274"/>
      <c r="N200" s="274"/>
      <c r="O200" s="276"/>
      <c r="P200" s="276"/>
      <c r="Q200" s="276"/>
      <c r="R200" s="276"/>
      <c r="S200" s="276"/>
      <c r="T200" s="276"/>
      <c r="U200" s="276"/>
      <c r="V200" s="276"/>
      <c r="W200" s="276"/>
      <c r="EJ200" t="s">
        <v>398</v>
      </c>
    </row>
    <row r="201" spans="1:140" x14ac:dyDescent="0.3">
      <c r="A201" s="274"/>
      <c r="B201" s="274"/>
      <c r="C201" s="274"/>
      <c r="D201" s="254"/>
      <c r="E201" s="254"/>
      <c r="F201" s="274"/>
      <c r="G201" s="274"/>
      <c r="H201" s="274"/>
      <c r="I201" s="274"/>
      <c r="J201" s="274"/>
      <c r="K201" s="274"/>
      <c r="L201" s="274"/>
      <c r="M201" s="274"/>
      <c r="N201" s="274"/>
      <c r="O201" s="276"/>
      <c r="P201" s="276"/>
      <c r="Q201" s="276"/>
      <c r="R201" s="276"/>
      <c r="S201" s="276"/>
      <c r="T201" s="276"/>
      <c r="U201" s="276"/>
      <c r="V201" s="276"/>
      <c r="W201" s="276"/>
      <c r="EJ201" t="s">
        <v>398</v>
      </c>
    </row>
    <row r="202" spans="1:140" x14ac:dyDescent="0.3">
      <c r="A202" s="274"/>
      <c r="B202" s="274"/>
      <c r="C202" s="274"/>
      <c r="D202" s="254"/>
      <c r="E202" s="254"/>
      <c r="F202" s="274"/>
      <c r="G202" s="274"/>
      <c r="H202" s="274"/>
      <c r="I202" s="274"/>
      <c r="J202" s="274"/>
      <c r="K202" s="274"/>
      <c r="L202" s="274"/>
      <c r="M202" s="274"/>
      <c r="N202" s="274"/>
      <c r="O202" s="276"/>
      <c r="P202" s="276"/>
      <c r="Q202" s="276"/>
      <c r="R202" s="276"/>
      <c r="S202" s="276"/>
      <c r="T202" s="276"/>
      <c r="U202" s="276"/>
      <c r="V202" s="276"/>
      <c r="W202" s="276"/>
      <c r="EJ202" t="s">
        <v>398</v>
      </c>
    </row>
    <row r="203" spans="1:140" x14ac:dyDescent="0.3">
      <c r="A203" s="274"/>
      <c r="B203" s="274"/>
      <c r="C203" s="274"/>
      <c r="D203" s="254"/>
      <c r="E203" s="254"/>
      <c r="F203" s="274"/>
      <c r="G203" s="274"/>
      <c r="H203" s="274"/>
      <c r="I203" s="274"/>
      <c r="J203" s="274"/>
      <c r="K203" s="274"/>
      <c r="L203" s="274"/>
      <c r="M203" s="274"/>
      <c r="N203" s="274"/>
      <c r="O203" s="276"/>
      <c r="P203" s="276"/>
      <c r="Q203" s="276"/>
      <c r="R203" s="276"/>
      <c r="S203" s="276"/>
      <c r="T203" s="276"/>
      <c r="U203" s="276"/>
      <c r="V203" s="276"/>
      <c r="W203" s="276"/>
      <c r="EJ203" t="s">
        <v>398</v>
      </c>
    </row>
    <row r="204" spans="1:140" x14ac:dyDescent="0.3">
      <c r="A204" s="274"/>
      <c r="B204" s="274"/>
      <c r="C204" s="274"/>
      <c r="D204" s="254"/>
      <c r="E204" s="254"/>
      <c r="F204" s="274"/>
      <c r="G204" s="274"/>
      <c r="H204" s="274"/>
      <c r="I204" s="274"/>
      <c r="J204" s="274"/>
      <c r="K204" s="274"/>
      <c r="L204" s="274"/>
      <c r="M204" s="274"/>
      <c r="N204" s="274"/>
      <c r="O204" s="276"/>
      <c r="P204" s="276"/>
      <c r="Q204" s="276"/>
      <c r="R204" s="276"/>
      <c r="S204" s="276"/>
      <c r="T204" s="276"/>
      <c r="U204" s="276"/>
      <c r="V204" s="276"/>
      <c r="W204" s="276"/>
      <c r="EJ204" t="s">
        <v>398</v>
      </c>
    </row>
    <row r="205" spans="1:140" x14ac:dyDescent="0.3">
      <c r="A205" s="274"/>
      <c r="B205" s="274"/>
      <c r="C205" s="274"/>
      <c r="D205" s="254"/>
      <c r="E205" s="254"/>
      <c r="F205" s="274"/>
      <c r="G205" s="274"/>
      <c r="H205" s="274"/>
      <c r="I205" s="274"/>
      <c r="J205" s="274"/>
      <c r="K205" s="274"/>
      <c r="L205" s="274"/>
      <c r="M205" s="274"/>
      <c r="N205" s="274"/>
      <c r="O205" s="276"/>
      <c r="P205" s="276"/>
      <c r="Q205" s="276"/>
      <c r="R205" s="276"/>
      <c r="S205" s="276"/>
      <c r="T205" s="276"/>
      <c r="U205" s="276"/>
      <c r="V205" s="276"/>
      <c r="W205" s="276"/>
      <c r="EJ205" t="s">
        <v>398</v>
      </c>
    </row>
    <row r="206" spans="1:140" x14ac:dyDescent="0.3">
      <c r="A206" s="274"/>
      <c r="B206" s="274"/>
      <c r="C206" s="274"/>
      <c r="D206" s="254"/>
      <c r="E206" s="254"/>
      <c r="F206" s="274"/>
      <c r="G206" s="274"/>
      <c r="H206" s="274"/>
      <c r="I206" s="274"/>
      <c r="J206" s="274"/>
      <c r="K206" s="274"/>
      <c r="L206" s="274"/>
      <c r="M206" s="274"/>
      <c r="N206" s="274"/>
      <c r="O206" s="276"/>
      <c r="P206" s="276"/>
      <c r="Q206" s="276"/>
      <c r="R206" s="276"/>
      <c r="S206" s="276"/>
      <c r="T206" s="276"/>
      <c r="U206" s="276"/>
      <c r="V206" s="276"/>
      <c r="W206" s="276"/>
      <c r="EJ206" t="s">
        <v>398</v>
      </c>
    </row>
    <row r="207" spans="1:140" x14ac:dyDescent="0.3">
      <c r="A207" s="274"/>
      <c r="B207" s="274"/>
      <c r="C207" s="274"/>
      <c r="D207" s="254"/>
      <c r="E207" s="254"/>
      <c r="F207" s="274"/>
      <c r="G207" s="274"/>
      <c r="H207" s="274"/>
      <c r="I207" s="274"/>
      <c r="J207" s="274"/>
      <c r="K207" s="274"/>
      <c r="L207" s="274"/>
      <c r="M207" s="274"/>
      <c r="N207" s="274"/>
      <c r="O207" s="276"/>
      <c r="P207" s="276"/>
      <c r="Q207" s="276"/>
      <c r="R207" s="276"/>
      <c r="S207" s="276"/>
      <c r="T207" s="276"/>
      <c r="U207" s="276"/>
      <c r="V207" s="276"/>
      <c r="W207" s="276"/>
      <c r="EJ207" t="s">
        <v>398</v>
      </c>
    </row>
    <row r="208" spans="1:140" ht="21" x14ac:dyDescent="0.4">
      <c r="A208" s="274"/>
      <c r="B208" s="274"/>
      <c r="C208" s="279"/>
      <c r="D208" s="279"/>
      <c r="E208" s="254"/>
      <c r="F208" s="274"/>
      <c r="G208" s="274"/>
      <c r="H208" s="274"/>
      <c r="I208" s="274"/>
      <c r="J208" s="274"/>
      <c r="K208" s="274"/>
      <c r="L208" s="274"/>
      <c r="M208" s="274"/>
      <c r="N208" s="274"/>
      <c r="O208" s="276"/>
      <c r="P208" s="276"/>
      <c r="Q208" s="276"/>
      <c r="R208" s="276"/>
      <c r="S208" s="276"/>
      <c r="T208" s="276"/>
      <c r="U208" s="276"/>
      <c r="V208" s="276"/>
      <c r="W208" s="276"/>
      <c r="EJ208" t="s">
        <v>398</v>
      </c>
    </row>
    <row r="209" spans="1:140" x14ac:dyDescent="0.3">
      <c r="A209" s="274"/>
      <c r="B209" s="274"/>
      <c r="C209" s="274"/>
      <c r="D209" s="254"/>
      <c r="E209" s="254"/>
      <c r="F209" s="274"/>
      <c r="G209" s="274"/>
      <c r="H209" s="274"/>
      <c r="I209" s="274"/>
      <c r="J209" s="274"/>
      <c r="K209" s="274"/>
      <c r="L209" s="274"/>
      <c r="M209" s="274"/>
      <c r="N209" s="274"/>
      <c r="O209" s="276"/>
      <c r="P209" s="276"/>
      <c r="Q209" s="276"/>
      <c r="R209" s="276"/>
      <c r="S209" s="276"/>
      <c r="T209" s="276"/>
      <c r="U209" s="276"/>
      <c r="V209" s="276"/>
      <c r="W209" s="276"/>
      <c r="EJ209" t="s">
        <v>398</v>
      </c>
    </row>
    <row r="210" spans="1:140" x14ac:dyDescent="0.3">
      <c r="A210" s="274"/>
      <c r="B210" s="274"/>
      <c r="C210" s="274"/>
      <c r="D210" s="254"/>
      <c r="E210" s="254"/>
      <c r="F210" s="274"/>
      <c r="G210" s="274"/>
      <c r="H210" s="274"/>
      <c r="I210" s="274"/>
      <c r="J210" s="274"/>
      <c r="K210" s="274"/>
      <c r="L210" s="274"/>
      <c r="M210" s="274"/>
      <c r="N210" s="274"/>
      <c r="O210" s="276"/>
      <c r="P210" s="276"/>
      <c r="Q210" s="276"/>
      <c r="R210" s="276"/>
      <c r="S210" s="276"/>
      <c r="T210" s="276"/>
      <c r="U210" s="276"/>
      <c r="V210" s="276"/>
      <c r="W210" s="276"/>
      <c r="EJ210" t="s">
        <v>398</v>
      </c>
    </row>
    <row r="211" spans="1:140" x14ac:dyDescent="0.3">
      <c r="A211" s="274"/>
      <c r="B211" s="274"/>
      <c r="C211" s="274"/>
      <c r="D211" s="254"/>
      <c r="E211" s="254"/>
      <c r="F211" s="274"/>
      <c r="G211" s="274"/>
      <c r="H211" s="274"/>
      <c r="I211" s="274"/>
      <c r="J211" s="274"/>
      <c r="K211" s="274"/>
      <c r="L211" s="274"/>
      <c r="M211" s="274"/>
      <c r="N211" s="274"/>
      <c r="O211" s="276"/>
      <c r="P211" s="276"/>
      <c r="Q211" s="276"/>
      <c r="R211" s="276"/>
      <c r="S211" s="276"/>
      <c r="T211" s="276"/>
      <c r="U211" s="276"/>
      <c r="V211" s="276"/>
      <c r="W211" s="276"/>
      <c r="EJ211" t="s">
        <v>398</v>
      </c>
    </row>
    <row r="212" spans="1:140" x14ac:dyDescent="0.3">
      <c r="A212" s="274"/>
      <c r="B212" s="274"/>
      <c r="C212" s="274"/>
      <c r="D212" s="254"/>
      <c r="E212" s="254"/>
      <c r="F212" s="274"/>
      <c r="G212" s="274"/>
      <c r="H212" s="274"/>
      <c r="I212" s="274"/>
      <c r="J212" s="274"/>
      <c r="K212" s="274"/>
      <c r="L212" s="274"/>
      <c r="M212" s="274"/>
      <c r="N212" s="274"/>
      <c r="O212" s="276"/>
      <c r="P212" s="276"/>
      <c r="Q212" s="276"/>
      <c r="R212" s="276"/>
      <c r="S212" s="276"/>
      <c r="T212" s="276"/>
      <c r="U212" s="276"/>
      <c r="V212" s="276"/>
      <c r="W212" s="276"/>
      <c r="EJ212" t="s">
        <v>398</v>
      </c>
    </row>
    <row r="213" spans="1:140" x14ac:dyDescent="0.3">
      <c r="A213" s="274"/>
      <c r="B213" s="274"/>
      <c r="C213" s="274"/>
      <c r="D213" s="254"/>
      <c r="E213" s="254"/>
      <c r="F213" s="274"/>
      <c r="G213" s="274"/>
      <c r="H213" s="274"/>
      <c r="I213" s="274"/>
      <c r="J213" s="274"/>
      <c r="K213" s="274"/>
      <c r="L213" s="274"/>
      <c r="M213" s="274"/>
      <c r="N213" s="274"/>
      <c r="O213" s="276"/>
      <c r="P213" s="276"/>
      <c r="Q213" s="276"/>
      <c r="R213" s="276"/>
      <c r="S213" s="276"/>
      <c r="T213" s="276"/>
      <c r="U213" s="276"/>
      <c r="V213" s="276"/>
      <c r="W213" s="276"/>
      <c r="EJ213" t="s">
        <v>398</v>
      </c>
    </row>
    <row r="214" spans="1:140" x14ac:dyDescent="0.3">
      <c r="A214" s="274"/>
      <c r="B214" s="274"/>
      <c r="C214" s="274"/>
      <c r="D214" s="254"/>
      <c r="E214" s="254"/>
      <c r="F214" s="274"/>
      <c r="G214" s="274"/>
      <c r="H214" s="274"/>
      <c r="I214" s="274"/>
      <c r="J214" s="274"/>
      <c r="K214" s="274"/>
      <c r="L214" s="274"/>
      <c r="M214" s="274"/>
      <c r="N214" s="274"/>
      <c r="O214" s="276"/>
      <c r="P214" s="276"/>
      <c r="Q214" s="276"/>
      <c r="R214" s="276"/>
      <c r="S214" s="276"/>
      <c r="T214" s="276"/>
      <c r="U214" s="276"/>
      <c r="V214" s="276"/>
      <c r="W214" s="276"/>
      <c r="EJ214" t="s">
        <v>398</v>
      </c>
    </row>
    <row r="215" spans="1:140" x14ac:dyDescent="0.3">
      <c r="A215" s="274"/>
      <c r="B215" s="274"/>
      <c r="C215" s="274"/>
      <c r="D215" s="254"/>
      <c r="E215" s="254"/>
      <c r="F215" s="274"/>
      <c r="G215" s="274"/>
      <c r="H215" s="274"/>
      <c r="I215" s="274"/>
      <c r="J215" s="274"/>
      <c r="K215" s="274"/>
      <c r="L215" s="274"/>
      <c r="M215" s="274"/>
      <c r="N215" s="274"/>
      <c r="O215" s="276"/>
      <c r="P215" s="276"/>
      <c r="Q215" s="276"/>
      <c r="R215" s="276"/>
      <c r="S215" s="276"/>
      <c r="T215" s="276"/>
      <c r="U215" s="276"/>
      <c r="V215" s="276"/>
      <c r="W215" s="276"/>
      <c r="EJ215" t="s">
        <v>398</v>
      </c>
    </row>
    <row r="216" spans="1:140" x14ac:dyDescent="0.3">
      <c r="A216" s="274"/>
      <c r="B216" s="274"/>
      <c r="C216" s="274"/>
      <c r="D216" s="254"/>
      <c r="E216" s="254"/>
      <c r="F216" s="274"/>
      <c r="G216" s="274"/>
      <c r="H216" s="274"/>
      <c r="I216" s="274"/>
      <c r="J216" s="274"/>
      <c r="K216" s="274"/>
      <c r="L216" s="274"/>
      <c r="M216" s="274"/>
      <c r="N216" s="274"/>
      <c r="O216" s="276"/>
      <c r="P216" s="276"/>
      <c r="Q216" s="276"/>
      <c r="R216" s="276"/>
      <c r="S216" s="276"/>
      <c r="T216" s="276"/>
      <c r="U216" s="276"/>
      <c r="V216" s="276"/>
      <c r="W216" s="276"/>
      <c r="EJ216" t="s">
        <v>398</v>
      </c>
    </row>
    <row r="217" spans="1:140" x14ac:dyDescent="0.3">
      <c r="A217" s="274"/>
      <c r="B217" s="274"/>
      <c r="C217" s="274"/>
      <c r="D217" s="254"/>
      <c r="E217" s="254"/>
      <c r="F217" s="274"/>
      <c r="G217" s="274"/>
      <c r="H217" s="274"/>
      <c r="I217" s="274"/>
      <c r="J217" s="274"/>
      <c r="K217" s="274"/>
      <c r="L217" s="274"/>
      <c r="M217" s="274"/>
      <c r="N217" s="274"/>
      <c r="O217" s="276"/>
      <c r="P217" s="276"/>
      <c r="Q217" s="276"/>
      <c r="R217" s="276"/>
      <c r="S217" s="276"/>
      <c r="T217" s="276"/>
      <c r="U217" s="276"/>
      <c r="V217" s="276"/>
      <c r="W217" s="276"/>
      <c r="EJ217" t="s">
        <v>398</v>
      </c>
    </row>
    <row r="218" spans="1:140" x14ac:dyDescent="0.3">
      <c r="A218" s="274"/>
      <c r="B218" s="274"/>
      <c r="C218" s="274"/>
      <c r="D218" s="254"/>
      <c r="E218" s="254"/>
      <c r="F218" s="274"/>
      <c r="G218" s="274"/>
      <c r="H218" s="274"/>
      <c r="I218" s="274"/>
      <c r="J218" s="274"/>
      <c r="K218" s="274"/>
      <c r="L218" s="274"/>
      <c r="M218" s="274"/>
      <c r="N218" s="274"/>
      <c r="O218" s="276"/>
      <c r="P218" s="276"/>
      <c r="Q218" s="276"/>
      <c r="R218" s="276"/>
      <c r="S218" s="276"/>
      <c r="T218" s="276"/>
      <c r="U218" s="276"/>
      <c r="V218" s="276"/>
      <c r="W218" s="276"/>
      <c r="EJ218" t="s">
        <v>398</v>
      </c>
    </row>
    <row r="219" spans="1:140" x14ac:dyDescent="0.3">
      <c r="A219" s="274"/>
      <c r="B219" s="274"/>
      <c r="C219" s="274"/>
      <c r="D219" s="254"/>
      <c r="E219" s="254"/>
      <c r="F219" s="274"/>
      <c r="G219" s="274"/>
      <c r="H219" s="274"/>
      <c r="I219" s="274"/>
      <c r="J219" s="274"/>
      <c r="K219" s="274"/>
      <c r="L219" s="274"/>
      <c r="M219" s="274"/>
      <c r="N219" s="274"/>
      <c r="O219" s="276"/>
      <c r="P219" s="276"/>
      <c r="Q219" s="276"/>
      <c r="R219" s="276"/>
      <c r="S219" s="276"/>
      <c r="T219" s="276"/>
      <c r="U219" s="276"/>
      <c r="V219" s="276"/>
      <c r="W219" s="276"/>
      <c r="EJ219" t="s">
        <v>398</v>
      </c>
    </row>
    <row r="220" spans="1:140" x14ac:dyDescent="0.3">
      <c r="A220" s="274"/>
      <c r="B220" s="274"/>
      <c r="C220" s="274"/>
      <c r="D220" s="254"/>
      <c r="E220" s="254"/>
      <c r="F220" s="274"/>
      <c r="G220" s="277"/>
      <c r="H220" s="274"/>
      <c r="I220" s="274"/>
      <c r="J220" s="274"/>
      <c r="K220" s="274"/>
      <c r="L220" s="274"/>
      <c r="M220" s="274"/>
      <c r="N220" s="274"/>
      <c r="O220" s="276"/>
      <c r="P220" s="276"/>
      <c r="Q220" s="276"/>
      <c r="R220" s="276"/>
      <c r="S220" s="276"/>
      <c r="T220" s="276"/>
      <c r="U220" s="276"/>
      <c r="V220" s="276"/>
      <c r="W220" s="276"/>
      <c r="EJ220" t="s">
        <v>398</v>
      </c>
    </row>
    <row r="221" spans="1:140" x14ac:dyDescent="0.3">
      <c r="A221" s="274"/>
      <c r="B221" s="274"/>
      <c r="C221" s="274"/>
      <c r="D221" s="254"/>
      <c r="E221" s="254"/>
      <c r="F221" s="274"/>
      <c r="G221" s="274"/>
      <c r="H221" s="274"/>
      <c r="I221" s="274"/>
      <c r="J221" s="274"/>
      <c r="K221" s="274"/>
      <c r="L221" s="274"/>
      <c r="M221" s="274"/>
      <c r="N221" s="274"/>
      <c r="O221" s="276"/>
      <c r="P221" s="276"/>
      <c r="Q221" s="276"/>
      <c r="R221" s="276"/>
      <c r="S221" s="276"/>
      <c r="T221" s="276"/>
      <c r="U221" s="276"/>
      <c r="V221" s="276"/>
      <c r="W221" s="276"/>
      <c r="EJ221" t="s">
        <v>398</v>
      </c>
    </row>
    <row r="222" spans="1:140" x14ac:dyDescent="0.3">
      <c r="A222" s="274"/>
      <c r="B222" s="274"/>
      <c r="C222" s="274"/>
      <c r="D222" s="254"/>
      <c r="E222" s="254"/>
      <c r="F222" s="259"/>
      <c r="G222" s="274"/>
      <c r="H222" s="274"/>
      <c r="I222" s="274"/>
      <c r="J222" s="277"/>
      <c r="K222" s="277"/>
      <c r="L222" s="274"/>
      <c r="M222" s="274"/>
      <c r="N222" s="277"/>
      <c r="O222" s="276"/>
      <c r="P222" s="276"/>
      <c r="Q222" s="276"/>
      <c r="R222" s="276"/>
      <c r="S222" s="276"/>
      <c r="T222" s="276"/>
      <c r="U222" s="276"/>
      <c r="V222" s="276"/>
      <c r="W222" s="276"/>
    </row>
    <row r="223" spans="1:140" x14ac:dyDescent="0.3">
      <c r="A223" s="274"/>
      <c r="B223" s="274"/>
      <c r="C223" s="274"/>
      <c r="D223" s="254"/>
      <c r="E223" s="254"/>
      <c r="F223" s="259"/>
      <c r="G223" s="274"/>
      <c r="H223" s="274"/>
      <c r="I223" s="274"/>
      <c r="J223" s="274"/>
      <c r="K223" s="274"/>
      <c r="L223" s="274"/>
      <c r="M223" s="274"/>
      <c r="N223" s="274"/>
      <c r="O223" s="276"/>
      <c r="P223" s="276"/>
      <c r="Q223" s="276"/>
      <c r="R223" s="276"/>
      <c r="S223" s="276"/>
      <c r="T223" s="276"/>
      <c r="U223" s="276"/>
      <c r="V223" s="276"/>
      <c r="W223" s="276"/>
    </row>
    <row r="224" spans="1:140" x14ac:dyDescent="0.3">
      <c r="A224" s="274"/>
      <c r="B224" s="274"/>
      <c r="C224" s="274"/>
      <c r="D224" s="254"/>
      <c r="E224" s="254"/>
      <c r="F224" s="259"/>
      <c r="G224" s="274"/>
      <c r="H224" s="274"/>
      <c r="I224" s="274"/>
      <c r="J224" s="274"/>
      <c r="K224" s="274"/>
      <c r="L224" s="274"/>
      <c r="M224" s="259"/>
      <c r="N224" s="274"/>
      <c r="O224" s="276"/>
      <c r="P224" s="276"/>
      <c r="Q224" s="276"/>
      <c r="R224" s="276"/>
      <c r="S224" s="276"/>
      <c r="T224" s="276"/>
      <c r="U224" s="276"/>
      <c r="V224" s="276"/>
      <c r="W224" s="276"/>
    </row>
    <row r="225" spans="1:23" x14ac:dyDescent="0.3">
      <c r="A225" s="274"/>
      <c r="B225" s="274"/>
      <c r="C225" s="274"/>
      <c r="D225" s="254"/>
      <c r="E225" s="254"/>
      <c r="F225" s="274"/>
      <c r="G225" s="274"/>
      <c r="H225" s="274"/>
      <c r="I225" s="274"/>
      <c r="J225" s="274"/>
      <c r="K225" s="274"/>
      <c r="L225" s="274"/>
      <c r="M225" s="274"/>
      <c r="N225" s="274"/>
      <c r="O225" s="276"/>
      <c r="P225" s="276"/>
      <c r="Q225" s="276"/>
      <c r="R225" s="276"/>
      <c r="S225" s="276"/>
      <c r="T225" s="276"/>
      <c r="U225" s="276"/>
      <c r="V225" s="276"/>
      <c r="W225" s="276"/>
    </row>
    <row r="226" spans="1:23" ht="21" x14ac:dyDescent="0.4">
      <c r="A226" s="274"/>
      <c r="B226" s="274"/>
      <c r="C226" s="274"/>
      <c r="D226" s="254"/>
      <c r="E226" s="254"/>
      <c r="F226" s="279"/>
      <c r="G226" s="279"/>
      <c r="H226" s="274"/>
      <c r="I226" s="274"/>
      <c r="J226" s="274"/>
      <c r="K226" s="274"/>
      <c r="L226" s="274"/>
      <c r="M226" s="274"/>
      <c r="N226" s="274"/>
      <c r="O226" s="276"/>
      <c r="P226" s="276"/>
      <c r="Q226" s="276"/>
      <c r="R226" s="276"/>
      <c r="S226" s="276"/>
      <c r="T226" s="276"/>
      <c r="U226" s="276"/>
      <c r="V226" s="276"/>
      <c r="W226" s="276"/>
    </row>
    <row r="227" spans="1:23" x14ac:dyDescent="0.3">
      <c r="A227" s="274"/>
      <c r="B227" s="274"/>
      <c r="C227" s="274"/>
      <c r="D227" s="254"/>
      <c r="E227" s="254"/>
      <c r="F227" s="274"/>
      <c r="G227" s="274"/>
      <c r="H227" s="274"/>
      <c r="I227" s="274"/>
      <c r="J227" s="274"/>
      <c r="K227" s="274"/>
      <c r="L227" s="274"/>
      <c r="M227" s="274"/>
      <c r="N227" s="274"/>
      <c r="O227" s="276"/>
      <c r="P227" s="276"/>
      <c r="Q227" s="276"/>
      <c r="R227" s="276"/>
      <c r="S227" s="276"/>
      <c r="T227" s="276"/>
      <c r="U227" s="276"/>
      <c r="V227" s="276"/>
      <c r="W227" s="276"/>
    </row>
    <row r="228" spans="1:23" ht="21" x14ac:dyDescent="0.4">
      <c r="A228" s="274"/>
      <c r="B228" s="274"/>
      <c r="C228" s="274"/>
      <c r="D228" s="254"/>
      <c r="E228" s="279"/>
      <c r="F228" s="274"/>
      <c r="G228" s="274"/>
      <c r="H228" s="274"/>
      <c r="I228" s="274"/>
      <c r="J228" s="274"/>
      <c r="K228" s="274"/>
      <c r="L228" s="274"/>
      <c r="M228" s="274"/>
      <c r="N228" s="274"/>
      <c r="O228" s="276"/>
      <c r="P228" s="276"/>
      <c r="Q228" s="276"/>
      <c r="R228" s="276"/>
      <c r="S228" s="276"/>
      <c r="T228" s="276"/>
      <c r="U228" s="276"/>
      <c r="V228" s="276"/>
      <c r="W228" s="276"/>
    </row>
    <row r="229" spans="1:23" x14ac:dyDescent="0.3">
      <c r="A229" s="274"/>
      <c r="B229" s="274"/>
      <c r="C229" s="274"/>
      <c r="D229" s="254"/>
      <c r="E229" s="254"/>
      <c r="F229" s="274"/>
      <c r="G229" s="274"/>
      <c r="H229" s="274"/>
      <c r="I229" s="274"/>
      <c r="J229" s="274"/>
      <c r="K229" s="274"/>
      <c r="L229" s="274"/>
      <c r="M229" s="274"/>
      <c r="N229" s="274"/>
      <c r="O229" s="276"/>
      <c r="P229" s="276"/>
      <c r="Q229" s="276"/>
      <c r="R229" s="276"/>
      <c r="S229" s="276"/>
      <c r="T229" s="276"/>
      <c r="U229" s="276"/>
      <c r="V229" s="276"/>
      <c r="W229" s="276"/>
    </row>
    <row r="230" spans="1:23" x14ac:dyDescent="0.3">
      <c r="A230" s="274"/>
      <c r="B230" s="274"/>
      <c r="C230" s="277"/>
      <c r="D230" s="254"/>
      <c r="E230" s="254"/>
      <c r="F230" s="274"/>
      <c r="G230" s="274"/>
      <c r="H230" s="274"/>
      <c r="I230" s="274"/>
      <c r="J230" s="274"/>
      <c r="K230" s="274"/>
      <c r="L230" s="274"/>
      <c r="M230" s="274"/>
      <c r="N230" s="274"/>
      <c r="O230" s="276"/>
      <c r="P230" s="276"/>
      <c r="Q230" s="276"/>
      <c r="R230" s="276"/>
      <c r="S230" s="276"/>
      <c r="T230" s="276"/>
      <c r="U230" s="276"/>
      <c r="V230" s="276"/>
      <c r="W230" s="276"/>
    </row>
    <row r="231" spans="1:23" x14ac:dyDescent="0.3">
      <c r="A231" s="274"/>
      <c r="B231" s="274"/>
      <c r="C231" s="274"/>
      <c r="D231" s="254"/>
      <c r="E231" s="254"/>
      <c r="F231" s="274"/>
      <c r="G231" s="274"/>
      <c r="H231" s="274"/>
      <c r="I231" s="274"/>
      <c r="J231" s="274"/>
      <c r="K231" s="274"/>
      <c r="L231" s="274"/>
      <c r="M231" s="274"/>
      <c r="N231" s="274"/>
      <c r="O231" s="276"/>
      <c r="P231" s="276"/>
      <c r="Q231" s="276"/>
      <c r="R231" s="276"/>
      <c r="S231" s="276"/>
      <c r="T231" s="276"/>
      <c r="U231" s="276"/>
      <c r="V231" s="276"/>
      <c r="W231" s="276"/>
    </row>
    <row r="232" spans="1:23" x14ac:dyDescent="0.3">
      <c r="A232" s="274"/>
      <c r="B232" s="274"/>
      <c r="C232" s="274"/>
      <c r="D232" s="254"/>
      <c r="E232" s="254"/>
      <c r="F232" s="274"/>
      <c r="G232" s="274"/>
      <c r="H232" s="274"/>
      <c r="I232" s="274"/>
      <c r="J232" s="274"/>
      <c r="K232" s="274"/>
      <c r="L232" s="274"/>
      <c r="M232" s="274"/>
      <c r="N232" s="274"/>
      <c r="O232" s="276"/>
      <c r="P232" s="276"/>
      <c r="Q232" s="276"/>
      <c r="R232" s="276"/>
      <c r="S232" s="276"/>
      <c r="T232" s="276"/>
      <c r="U232" s="276"/>
      <c r="V232" s="276"/>
      <c r="W232" s="276"/>
    </row>
    <row r="233" spans="1:23" x14ac:dyDescent="0.3">
      <c r="A233" s="274"/>
      <c r="B233" s="274"/>
      <c r="C233" s="274"/>
      <c r="D233" s="254"/>
      <c r="E233" s="254"/>
      <c r="F233" s="274"/>
      <c r="G233" s="274"/>
      <c r="H233" s="274"/>
      <c r="I233" s="274"/>
      <c r="J233" s="274"/>
      <c r="K233" s="274"/>
      <c r="L233" s="274"/>
      <c r="M233" s="274"/>
      <c r="N233" s="274"/>
      <c r="O233" s="276"/>
      <c r="P233" s="276"/>
      <c r="Q233" s="276"/>
      <c r="R233" s="276"/>
      <c r="S233" s="276"/>
      <c r="T233" s="276"/>
      <c r="U233" s="276"/>
      <c r="V233" s="276"/>
      <c r="W233" s="276"/>
    </row>
    <row r="234" spans="1:23" x14ac:dyDescent="0.3">
      <c r="A234" s="274"/>
      <c r="B234" s="274"/>
      <c r="C234" s="274"/>
      <c r="D234" s="254"/>
      <c r="E234" s="254"/>
      <c r="F234" s="274"/>
      <c r="G234" s="274"/>
      <c r="H234" s="274"/>
      <c r="I234" s="274"/>
      <c r="J234" s="274"/>
      <c r="K234" s="274"/>
      <c r="L234" s="274"/>
      <c r="M234" s="274"/>
      <c r="N234" s="274"/>
      <c r="O234" s="276"/>
      <c r="P234" s="276"/>
      <c r="Q234" s="276"/>
      <c r="R234" s="276"/>
      <c r="S234" s="276"/>
      <c r="T234" s="276"/>
      <c r="U234" s="276"/>
      <c r="V234" s="276"/>
      <c r="W234" s="276"/>
    </row>
    <row r="235" spans="1:23" x14ac:dyDescent="0.3">
      <c r="A235" s="274"/>
      <c r="B235" s="274"/>
      <c r="C235" s="274"/>
      <c r="D235" s="254"/>
      <c r="E235" s="254"/>
      <c r="F235" s="274"/>
      <c r="G235" s="274"/>
      <c r="H235" s="274"/>
      <c r="I235" s="274"/>
      <c r="J235" s="274"/>
      <c r="K235" s="274"/>
      <c r="L235" s="274"/>
      <c r="M235" s="274"/>
      <c r="N235" s="274"/>
      <c r="O235" s="276"/>
      <c r="P235" s="276"/>
      <c r="Q235" s="276"/>
      <c r="R235" s="276"/>
      <c r="S235" s="276"/>
      <c r="T235" s="276"/>
      <c r="U235" s="276"/>
      <c r="V235" s="276"/>
      <c r="W235" s="276"/>
    </row>
    <row r="236" spans="1:23" ht="21" x14ac:dyDescent="0.4">
      <c r="A236" s="274"/>
      <c r="B236" s="274"/>
      <c r="C236" s="279"/>
      <c r="D236" s="279"/>
      <c r="E236" s="254"/>
      <c r="F236" s="274"/>
      <c r="G236" s="274"/>
      <c r="H236" s="274"/>
      <c r="I236" s="274"/>
      <c r="J236" s="274"/>
      <c r="K236" s="274"/>
      <c r="L236" s="274"/>
      <c r="M236" s="274"/>
      <c r="N236" s="274"/>
      <c r="O236" s="276"/>
      <c r="P236" s="276"/>
      <c r="Q236" s="276"/>
      <c r="R236" s="276"/>
      <c r="S236" s="276"/>
      <c r="T236" s="276"/>
      <c r="U236" s="276"/>
      <c r="V236" s="276"/>
      <c r="W236" s="276"/>
    </row>
    <row r="237" spans="1:23" x14ac:dyDescent="0.3">
      <c r="A237" s="274"/>
      <c r="B237" s="274"/>
      <c r="C237" s="274"/>
      <c r="D237" s="254"/>
      <c r="E237" s="254"/>
      <c r="F237" s="274"/>
      <c r="G237" s="274"/>
      <c r="H237" s="274"/>
      <c r="I237" s="274"/>
      <c r="J237" s="274"/>
      <c r="K237" s="274"/>
      <c r="L237" s="274"/>
      <c r="M237" s="274"/>
      <c r="N237" s="274"/>
      <c r="O237" s="276"/>
      <c r="P237" s="276"/>
      <c r="Q237" s="276"/>
      <c r="R237" s="276"/>
      <c r="S237" s="276"/>
      <c r="T237" s="276"/>
      <c r="U237" s="276"/>
      <c r="V237" s="276"/>
      <c r="W237" s="276"/>
    </row>
    <row r="238" spans="1:23" x14ac:dyDescent="0.3">
      <c r="A238" s="274"/>
      <c r="B238" s="274"/>
      <c r="C238" s="274"/>
      <c r="D238" s="254"/>
      <c r="E238" s="254"/>
      <c r="F238" s="274"/>
      <c r="G238" s="274"/>
      <c r="H238" s="274"/>
      <c r="I238" s="274"/>
      <c r="J238" s="274"/>
      <c r="K238" s="274"/>
      <c r="L238" s="274"/>
      <c r="M238" s="274"/>
      <c r="N238" s="274"/>
      <c r="O238" s="276"/>
      <c r="P238" s="276"/>
      <c r="Q238" s="276"/>
      <c r="R238" s="276"/>
      <c r="S238" s="276"/>
      <c r="T238" s="276"/>
      <c r="U238" s="276"/>
      <c r="V238" s="276"/>
      <c r="W238" s="276"/>
    </row>
    <row r="239" spans="1:23" x14ac:dyDescent="0.3">
      <c r="A239" s="274"/>
      <c r="B239" s="274"/>
      <c r="C239" s="274"/>
      <c r="D239" s="254"/>
      <c r="E239" s="254"/>
      <c r="F239" s="274"/>
      <c r="G239" s="274"/>
      <c r="H239" s="274"/>
      <c r="I239" s="274"/>
      <c r="J239" s="274"/>
      <c r="K239" s="274"/>
      <c r="L239" s="274"/>
      <c r="M239" s="274"/>
      <c r="N239" s="274"/>
      <c r="O239" s="276"/>
      <c r="P239" s="276"/>
      <c r="Q239" s="276"/>
      <c r="R239" s="276"/>
      <c r="S239" s="276"/>
      <c r="T239" s="276"/>
      <c r="U239" s="276"/>
      <c r="V239" s="276"/>
      <c r="W239" s="276"/>
    </row>
    <row r="240" spans="1:23" x14ac:dyDescent="0.3">
      <c r="A240" s="274"/>
      <c r="B240" s="274"/>
      <c r="C240" s="274"/>
      <c r="D240" s="254"/>
      <c r="E240" s="254"/>
      <c r="F240" s="274"/>
      <c r="G240" s="274"/>
      <c r="H240" s="274"/>
      <c r="I240" s="274"/>
      <c r="J240" s="274"/>
      <c r="K240" s="274"/>
      <c r="L240" s="274"/>
      <c r="M240" s="274"/>
      <c r="N240" s="274"/>
      <c r="O240" s="276"/>
      <c r="P240" s="276"/>
      <c r="Q240" s="276"/>
      <c r="R240" s="276"/>
      <c r="S240" s="276"/>
      <c r="T240" s="276"/>
      <c r="U240" s="276"/>
      <c r="V240" s="276"/>
      <c r="W240" s="276"/>
    </row>
    <row r="241" spans="1:23" x14ac:dyDescent="0.3">
      <c r="A241" s="274"/>
      <c r="B241" s="274"/>
      <c r="C241" s="274"/>
      <c r="D241" s="254"/>
      <c r="E241" s="254"/>
      <c r="F241" s="274"/>
      <c r="G241" s="274"/>
      <c r="H241" s="274"/>
      <c r="I241" s="274"/>
      <c r="J241" s="274"/>
      <c r="K241" s="274"/>
      <c r="L241" s="274"/>
      <c r="M241" s="274"/>
      <c r="N241" s="274"/>
      <c r="O241" s="276"/>
      <c r="P241" s="276"/>
      <c r="Q241" s="276"/>
      <c r="R241" s="276"/>
      <c r="S241" s="276"/>
      <c r="T241" s="276"/>
      <c r="U241" s="276"/>
      <c r="V241" s="276"/>
      <c r="W241" s="276"/>
    </row>
    <row r="242" spans="1:23" x14ac:dyDescent="0.3">
      <c r="A242" s="274"/>
      <c r="B242" s="274"/>
      <c r="C242" s="274"/>
      <c r="D242" s="254"/>
      <c r="E242" s="254"/>
      <c r="F242" s="274"/>
      <c r="G242" s="274"/>
      <c r="H242" s="274"/>
      <c r="I242" s="274"/>
      <c r="J242" s="274"/>
      <c r="K242" s="274"/>
      <c r="L242" s="274"/>
      <c r="M242" s="274"/>
      <c r="N242" s="274"/>
      <c r="O242" s="276"/>
      <c r="P242" s="276"/>
      <c r="Q242" s="276"/>
      <c r="R242" s="276"/>
      <c r="S242" s="276"/>
      <c r="T242" s="276"/>
      <c r="U242" s="276"/>
      <c r="V242" s="276"/>
      <c r="W242" s="276"/>
    </row>
    <row r="243" spans="1:23" x14ac:dyDescent="0.3">
      <c r="A243" s="274"/>
      <c r="B243" s="274"/>
      <c r="C243" s="274"/>
      <c r="D243" s="254"/>
      <c r="E243" s="254"/>
      <c r="F243" s="274"/>
      <c r="G243" s="274"/>
      <c r="H243" s="274"/>
      <c r="I243" s="274"/>
      <c r="J243" s="274"/>
      <c r="K243" s="274"/>
      <c r="L243" s="274"/>
      <c r="M243" s="274"/>
      <c r="N243" s="274"/>
      <c r="O243" s="276"/>
      <c r="P243" s="276"/>
      <c r="Q243" s="276"/>
      <c r="R243" s="276"/>
      <c r="S243" s="276"/>
      <c r="T243" s="276"/>
      <c r="U243" s="276"/>
      <c r="V243" s="276"/>
      <c r="W243" s="276"/>
    </row>
    <row r="244" spans="1:23" x14ac:dyDescent="0.3">
      <c r="A244" s="274"/>
      <c r="B244" s="274"/>
      <c r="C244" s="274"/>
      <c r="D244" s="254"/>
      <c r="E244" s="254"/>
      <c r="F244" s="274"/>
      <c r="G244" s="274"/>
      <c r="H244" s="274"/>
      <c r="I244" s="274"/>
      <c r="J244" s="274"/>
      <c r="K244" s="274"/>
      <c r="L244" s="274"/>
      <c r="M244" s="274"/>
      <c r="N244" s="274"/>
      <c r="O244" s="276"/>
      <c r="P244" s="276"/>
      <c r="Q244" s="276"/>
      <c r="R244" s="276"/>
      <c r="S244" s="276"/>
      <c r="T244" s="276"/>
      <c r="U244" s="276"/>
      <c r="V244" s="276"/>
      <c r="W244" s="276"/>
    </row>
    <row r="245" spans="1:23" x14ac:dyDescent="0.3">
      <c r="A245" s="274"/>
      <c r="B245" s="274"/>
      <c r="C245" s="274"/>
      <c r="D245" s="254"/>
      <c r="E245" s="254"/>
      <c r="F245" s="274"/>
      <c r="G245" s="274"/>
      <c r="H245" s="274"/>
      <c r="I245" s="274"/>
      <c r="J245" s="274"/>
      <c r="K245" s="274"/>
      <c r="L245" s="274"/>
      <c r="M245" s="274"/>
      <c r="N245" s="274"/>
      <c r="O245" s="276"/>
      <c r="P245" s="276"/>
      <c r="Q245" s="276"/>
      <c r="R245" s="276"/>
      <c r="S245" s="276"/>
      <c r="T245" s="276"/>
      <c r="U245" s="276"/>
      <c r="V245" s="276"/>
      <c r="W245" s="276"/>
    </row>
    <row r="246" spans="1:23" x14ac:dyDescent="0.3">
      <c r="A246" s="274"/>
      <c r="B246" s="274"/>
      <c r="C246" s="274"/>
      <c r="D246" s="254"/>
      <c r="E246" s="254"/>
      <c r="F246" s="274"/>
      <c r="G246" s="274"/>
      <c r="H246" s="274"/>
      <c r="I246" s="274"/>
      <c r="J246" s="274"/>
      <c r="K246" s="274"/>
      <c r="L246" s="274"/>
      <c r="M246" s="274"/>
      <c r="N246" s="274"/>
      <c r="O246" s="276"/>
      <c r="P246" s="276"/>
      <c r="Q246" s="276"/>
      <c r="R246" s="276"/>
      <c r="S246" s="276"/>
      <c r="T246" s="276"/>
      <c r="U246" s="276"/>
      <c r="V246" s="276"/>
      <c r="W246" s="276"/>
    </row>
    <row r="247" spans="1:23" x14ac:dyDescent="0.3">
      <c r="A247" s="274"/>
      <c r="B247" s="274"/>
      <c r="C247" s="274"/>
      <c r="D247" s="254"/>
      <c r="E247" s="254"/>
      <c r="F247" s="274"/>
      <c r="G247" s="274"/>
      <c r="H247" s="274"/>
      <c r="I247" s="274"/>
      <c r="J247" s="274"/>
      <c r="K247" s="274"/>
      <c r="L247" s="274"/>
      <c r="M247" s="274"/>
      <c r="N247" s="274"/>
      <c r="O247" s="276"/>
      <c r="P247" s="276"/>
      <c r="Q247" s="276"/>
      <c r="R247" s="276"/>
      <c r="S247" s="276"/>
      <c r="T247" s="276"/>
      <c r="U247" s="276"/>
      <c r="V247" s="276"/>
      <c r="W247" s="276"/>
    </row>
    <row r="248" spans="1:23" x14ac:dyDescent="0.3">
      <c r="A248" s="274"/>
      <c r="B248" s="274"/>
      <c r="C248" s="274"/>
      <c r="D248" s="254"/>
      <c r="E248" s="254"/>
      <c r="F248" s="274"/>
      <c r="G248" s="274"/>
      <c r="H248" s="260"/>
      <c r="I248" s="274"/>
      <c r="J248" s="274"/>
      <c r="K248" s="274"/>
      <c r="L248" s="274"/>
      <c r="M248" s="274"/>
      <c r="N248" s="274"/>
      <c r="O248" s="276"/>
      <c r="P248" s="276"/>
      <c r="Q248" s="276"/>
      <c r="R248" s="276"/>
      <c r="S248" s="276"/>
      <c r="T248" s="276"/>
      <c r="U248" s="276"/>
      <c r="V248" s="276"/>
      <c r="W248" s="276"/>
    </row>
    <row r="249" spans="1:23" x14ac:dyDescent="0.3">
      <c r="A249" s="274"/>
      <c r="B249" s="274"/>
      <c r="C249" s="274"/>
      <c r="D249" s="254"/>
      <c r="E249" s="254"/>
      <c r="F249" s="274"/>
      <c r="G249" s="274"/>
      <c r="H249" s="259"/>
      <c r="I249" s="274"/>
      <c r="J249" s="274"/>
      <c r="K249" s="274"/>
      <c r="L249" s="274"/>
      <c r="M249" s="274"/>
      <c r="N249" s="274"/>
      <c r="O249" s="276"/>
      <c r="P249" s="276"/>
      <c r="Q249" s="276"/>
      <c r="R249" s="276"/>
      <c r="S249" s="276"/>
      <c r="T249" s="276"/>
      <c r="U249" s="276"/>
      <c r="V249" s="276"/>
      <c r="W249" s="276"/>
    </row>
    <row r="250" spans="1:23" x14ac:dyDescent="0.3">
      <c r="A250" s="274"/>
      <c r="B250" s="274"/>
      <c r="C250" s="274"/>
      <c r="D250" s="254"/>
      <c r="E250" s="254"/>
      <c r="F250" s="274"/>
      <c r="G250" s="274"/>
      <c r="H250" s="259"/>
      <c r="I250" s="274"/>
      <c r="J250" s="274"/>
      <c r="K250" s="274"/>
      <c r="L250" s="274"/>
      <c r="M250" s="274"/>
      <c r="N250" s="274"/>
      <c r="O250" s="276"/>
      <c r="P250" s="276"/>
      <c r="Q250" s="276"/>
      <c r="R250" s="276"/>
      <c r="S250" s="276"/>
      <c r="T250" s="276"/>
      <c r="U250" s="276"/>
      <c r="V250" s="276"/>
      <c r="W250" s="276"/>
    </row>
    <row r="251" spans="1:23" x14ac:dyDescent="0.3">
      <c r="A251" s="274"/>
      <c r="B251" s="274"/>
      <c r="C251" s="274"/>
      <c r="D251" s="254"/>
      <c r="E251" s="254"/>
      <c r="F251" s="274"/>
      <c r="G251" s="274"/>
      <c r="H251" s="259"/>
      <c r="I251" s="274"/>
      <c r="J251" s="274"/>
      <c r="K251" s="274"/>
      <c r="L251" s="274"/>
      <c r="M251" s="274"/>
      <c r="N251" s="274"/>
      <c r="O251" s="276"/>
      <c r="P251" s="276"/>
      <c r="Q251" s="276"/>
      <c r="R251" s="276"/>
      <c r="S251" s="276"/>
      <c r="T251" s="276"/>
      <c r="U251" s="276"/>
      <c r="V251" s="276"/>
      <c r="W251" s="276"/>
    </row>
    <row r="252" spans="1:23" ht="21" x14ac:dyDescent="0.4">
      <c r="A252" s="274"/>
      <c r="B252" s="274"/>
      <c r="C252" s="274"/>
      <c r="D252" s="254"/>
      <c r="E252" s="254"/>
      <c r="F252" s="279"/>
      <c r="G252" s="279"/>
      <c r="H252" s="274"/>
      <c r="I252" s="274"/>
      <c r="J252" s="274"/>
      <c r="K252" s="274"/>
      <c r="L252" s="274"/>
      <c r="M252" s="274"/>
      <c r="N252" s="274"/>
      <c r="O252" s="276"/>
      <c r="P252" s="276"/>
      <c r="Q252" s="276"/>
      <c r="R252" s="276"/>
      <c r="S252" s="276"/>
      <c r="T252" s="276"/>
      <c r="U252" s="276"/>
      <c r="V252" s="276"/>
      <c r="W252" s="276"/>
    </row>
    <row r="253" spans="1:23" x14ac:dyDescent="0.3">
      <c r="A253" s="274"/>
      <c r="B253" s="274"/>
      <c r="C253" s="274"/>
      <c r="D253" s="254"/>
      <c r="E253" s="254"/>
      <c r="F253" s="274"/>
      <c r="G253" s="274"/>
      <c r="H253" s="274"/>
      <c r="I253" s="274"/>
      <c r="J253" s="274"/>
      <c r="K253" s="274"/>
      <c r="L253" s="274"/>
      <c r="M253" s="274"/>
      <c r="N253" s="274"/>
      <c r="O253" s="276"/>
      <c r="P253" s="276"/>
      <c r="Q253" s="276"/>
      <c r="R253" s="276"/>
      <c r="S253" s="276"/>
      <c r="T253" s="276"/>
      <c r="U253" s="276"/>
      <c r="V253" s="276"/>
      <c r="W253" s="276"/>
    </row>
    <row r="254" spans="1:23" ht="21" x14ac:dyDescent="0.4">
      <c r="A254" s="274"/>
      <c r="B254" s="274"/>
      <c r="C254" s="274"/>
      <c r="D254" s="254"/>
      <c r="E254" s="279"/>
      <c r="F254" s="274"/>
      <c r="G254" s="274"/>
      <c r="H254" s="274"/>
      <c r="I254" s="274"/>
      <c r="J254" s="274"/>
      <c r="K254" s="274"/>
      <c r="L254" s="274"/>
      <c r="M254" s="274"/>
      <c r="N254" s="274"/>
      <c r="O254" s="276"/>
      <c r="P254" s="276"/>
      <c r="Q254" s="276"/>
      <c r="R254" s="276"/>
      <c r="S254" s="276"/>
      <c r="T254" s="276"/>
      <c r="U254" s="276"/>
      <c r="V254" s="276"/>
      <c r="W254" s="276"/>
    </row>
    <row r="255" spans="1:23" x14ac:dyDescent="0.3">
      <c r="A255" s="274"/>
      <c r="B255" s="274"/>
      <c r="C255" s="274"/>
      <c r="D255" s="254"/>
      <c r="E255" s="254"/>
      <c r="F255" s="274"/>
      <c r="G255" s="274"/>
      <c r="H255" s="274"/>
      <c r="I255" s="274"/>
      <c r="J255" s="274"/>
      <c r="K255" s="274"/>
      <c r="L255" s="274"/>
      <c r="M255" s="274"/>
      <c r="N255" s="274"/>
      <c r="O255" s="276"/>
      <c r="P255" s="276"/>
      <c r="Q255" s="276"/>
      <c r="R255" s="276"/>
      <c r="S255" s="276"/>
      <c r="T255" s="276"/>
      <c r="U255" s="276"/>
      <c r="V255" s="276"/>
      <c r="W255" s="276"/>
    </row>
    <row r="256" spans="1:23" x14ac:dyDescent="0.3">
      <c r="A256" s="274"/>
      <c r="B256" s="274"/>
      <c r="C256" s="274"/>
      <c r="D256" s="254"/>
      <c r="E256" s="254"/>
      <c r="F256" s="274"/>
      <c r="G256" s="274"/>
      <c r="H256" s="274"/>
      <c r="J256" s="274"/>
      <c r="K256" s="274"/>
      <c r="L256" s="274"/>
      <c r="M256" s="274"/>
      <c r="N256" s="274"/>
      <c r="O256" s="276"/>
      <c r="P256" s="276"/>
      <c r="Q256" s="276"/>
      <c r="R256" s="276"/>
      <c r="S256" s="276"/>
      <c r="T256" s="276"/>
      <c r="U256" s="276"/>
      <c r="V256" s="276"/>
      <c r="W256" s="276"/>
    </row>
    <row r="257" spans="1:23" x14ac:dyDescent="0.3">
      <c r="A257" s="274"/>
      <c r="B257" s="274"/>
      <c r="C257" s="274"/>
      <c r="D257" s="254"/>
      <c r="E257" s="254"/>
      <c r="F257" s="274"/>
      <c r="G257" s="274"/>
      <c r="H257" s="274"/>
      <c r="J257" s="274"/>
      <c r="K257" s="274"/>
      <c r="L257" s="274"/>
      <c r="M257" s="274"/>
      <c r="N257" s="274"/>
      <c r="O257" s="276"/>
      <c r="P257" s="276"/>
      <c r="Q257" s="276"/>
      <c r="R257" s="276"/>
      <c r="S257" s="276"/>
      <c r="T257" s="276"/>
      <c r="U257" s="276"/>
      <c r="V257" s="276"/>
      <c r="W257" s="276"/>
    </row>
    <row r="258" spans="1:23" x14ac:dyDescent="0.3">
      <c r="A258" s="274"/>
      <c r="B258" s="274"/>
      <c r="C258" s="277"/>
      <c r="D258" s="254"/>
      <c r="E258" s="254"/>
      <c r="F258" s="274"/>
      <c r="G258" s="274"/>
      <c r="H258" s="274"/>
      <c r="J258" s="274"/>
      <c r="K258" s="274"/>
      <c r="L258" s="274"/>
      <c r="M258" s="274"/>
      <c r="N258" s="274"/>
      <c r="O258" s="276"/>
      <c r="P258" s="276"/>
      <c r="Q258" s="276"/>
      <c r="R258" s="276"/>
      <c r="S258" s="276"/>
      <c r="T258" s="276"/>
      <c r="U258" s="276"/>
      <c r="V258" s="276"/>
      <c r="W258" s="276"/>
    </row>
    <row r="259" spans="1:23" x14ac:dyDescent="0.3">
      <c r="A259" s="274"/>
      <c r="B259" s="274"/>
      <c r="C259" s="274"/>
      <c r="D259" s="254"/>
      <c r="E259" s="254"/>
      <c r="F259" s="274"/>
      <c r="G259" s="274"/>
      <c r="H259" s="274"/>
      <c r="J259" s="274"/>
      <c r="K259" s="274"/>
      <c r="L259" s="274"/>
      <c r="M259" s="274"/>
      <c r="N259" s="274"/>
      <c r="O259" s="276"/>
      <c r="P259" s="276"/>
      <c r="Q259" s="276"/>
      <c r="R259" s="276"/>
      <c r="S259" s="276"/>
      <c r="T259" s="276"/>
      <c r="U259" s="276"/>
      <c r="V259" s="276"/>
      <c r="W259" s="276"/>
    </row>
    <row r="260" spans="1:23" x14ac:dyDescent="0.3">
      <c r="A260" s="274"/>
      <c r="B260" s="274"/>
      <c r="C260" s="274"/>
      <c r="D260" s="254"/>
      <c r="E260" s="254"/>
      <c r="J260" s="274"/>
      <c r="K260" s="274"/>
      <c r="L260" s="274"/>
      <c r="M260" s="274"/>
      <c r="N260" s="274"/>
      <c r="O260" s="276"/>
      <c r="P260" s="276"/>
      <c r="Q260" s="276"/>
      <c r="R260" s="276"/>
      <c r="S260" s="276"/>
      <c r="T260" s="276"/>
      <c r="U260" s="276"/>
      <c r="V260" s="276"/>
      <c r="W260" s="276"/>
    </row>
    <row r="261" spans="1:23" x14ac:dyDescent="0.3">
      <c r="A261" s="274"/>
      <c r="B261" s="274"/>
      <c r="C261" s="274"/>
      <c r="D261" s="254"/>
      <c r="E261" s="254"/>
      <c r="J261" s="274"/>
      <c r="K261" s="274"/>
      <c r="L261" s="274"/>
      <c r="M261" s="274"/>
      <c r="N261" s="274"/>
      <c r="O261" s="276"/>
      <c r="P261" s="276"/>
      <c r="Q261" s="276"/>
      <c r="R261" s="276"/>
      <c r="S261" s="276"/>
      <c r="T261" s="276"/>
      <c r="U261" s="276"/>
      <c r="V261" s="276"/>
      <c r="W261" s="276"/>
    </row>
    <row r="262" spans="1:23" ht="21" x14ac:dyDescent="0.4">
      <c r="A262" s="274"/>
      <c r="B262" s="274"/>
      <c r="C262" s="279"/>
      <c r="D262" s="279"/>
    </row>
    <row r="263" spans="1:23" x14ac:dyDescent="0.3">
      <c r="A263" s="274"/>
      <c r="B263" s="274"/>
      <c r="C263" s="274"/>
      <c r="D263" s="254"/>
    </row>
    <row r="264" spans="1:23" x14ac:dyDescent="0.3">
      <c r="A264" s="274"/>
      <c r="B264" s="274"/>
      <c r="C264" s="274"/>
      <c r="D264" s="254"/>
    </row>
    <row r="265" spans="1:23" x14ac:dyDescent="0.3">
      <c r="A265" s="274"/>
      <c r="B265" s="274"/>
      <c r="C265" s="274"/>
      <c r="D265" s="254"/>
    </row>
    <row r="266" spans="1:23" x14ac:dyDescent="0.3">
      <c r="A266" s="274"/>
      <c r="B266" s="274"/>
      <c r="C266" s="274"/>
      <c r="D266" s="254"/>
    </row>
    <row r="267" spans="1:23" x14ac:dyDescent="0.3">
      <c r="A267" s="274"/>
      <c r="B267" s="274"/>
      <c r="C267" s="274"/>
      <c r="D267" s="254"/>
    </row>
    <row r="268" spans="1:23" x14ac:dyDescent="0.3">
      <c r="A268" s="274"/>
      <c r="B268" s="274"/>
      <c r="C268" s="274"/>
      <c r="D268" s="254"/>
    </row>
    <row r="269" spans="1:23" x14ac:dyDescent="0.3">
      <c r="A269" s="274"/>
      <c r="B269" s="274"/>
      <c r="C269" s="274"/>
      <c r="D269" s="254"/>
    </row>
    <row r="297" spans="5:18" x14ac:dyDescent="0.3">
      <c r="E297" s="247"/>
      <c r="O297" s="247"/>
      <c r="P297" s="247"/>
      <c r="Q297" s="247"/>
      <c r="R297" s="247"/>
    </row>
    <row r="298" spans="5:18" x14ac:dyDescent="0.3">
      <c r="E298" s="247"/>
      <c r="O298" s="247"/>
      <c r="P298" s="247"/>
      <c r="Q298" s="247"/>
      <c r="R298" s="247"/>
    </row>
    <row r="299" spans="5:18" x14ac:dyDescent="0.3">
      <c r="E299" s="247"/>
      <c r="O299" s="247"/>
      <c r="P299" s="247"/>
      <c r="Q299" s="247"/>
      <c r="R299" s="247"/>
    </row>
    <row r="300" spans="5:18" x14ac:dyDescent="0.3">
      <c r="E300" s="247"/>
      <c r="O300" s="247"/>
      <c r="P300" s="247"/>
      <c r="Q300" s="247"/>
      <c r="R300" s="247"/>
    </row>
    <row r="301" spans="5:18" x14ac:dyDescent="0.3">
      <c r="E301" s="247"/>
      <c r="O301" s="247"/>
      <c r="P301" s="247"/>
      <c r="Q301" s="247"/>
      <c r="R301" s="247"/>
    </row>
    <row r="302" spans="5:18" x14ac:dyDescent="0.3">
      <c r="E302" s="247"/>
      <c r="O302" s="247"/>
      <c r="P302" s="247"/>
      <c r="Q302" s="247"/>
      <c r="R302" s="247"/>
    </row>
    <row r="303" spans="5:18" x14ac:dyDescent="0.3">
      <c r="E303" s="247"/>
      <c r="O303" s="247"/>
      <c r="P303" s="247"/>
      <c r="Q303" s="247"/>
      <c r="R303" s="247"/>
    </row>
    <row r="304" spans="5:18" x14ac:dyDescent="0.3">
      <c r="E304" s="247"/>
      <c r="O304" s="247"/>
      <c r="P304" s="247"/>
      <c r="Q304" s="247"/>
      <c r="R304" s="247"/>
    </row>
    <row r="305" spans="4:18" x14ac:dyDescent="0.3">
      <c r="D305" s="247"/>
      <c r="E305" s="247"/>
      <c r="O305" s="247"/>
      <c r="P305" s="247"/>
      <c r="Q305" s="247"/>
      <c r="R305" s="247"/>
    </row>
    <row r="306" spans="4:18" x14ac:dyDescent="0.3">
      <c r="D306" s="247"/>
      <c r="E306" s="247"/>
      <c r="O306" s="247"/>
      <c r="P306" s="247"/>
      <c r="Q306" s="247"/>
      <c r="R306" s="247"/>
    </row>
    <row r="307" spans="4:18" x14ac:dyDescent="0.3">
      <c r="D307" s="247"/>
      <c r="E307" s="247"/>
      <c r="O307" s="247"/>
      <c r="P307" s="247"/>
      <c r="Q307" s="247"/>
      <c r="R307" s="247"/>
    </row>
    <row r="308" spans="4:18" x14ac:dyDescent="0.3">
      <c r="D308" s="247"/>
      <c r="E308" s="247"/>
      <c r="O308" s="247"/>
      <c r="P308" s="247"/>
      <c r="Q308" s="247"/>
      <c r="R308" s="247"/>
    </row>
    <row r="309" spans="4:18" x14ac:dyDescent="0.3">
      <c r="D309" s="247"/>
      <c r="E309" s="247"/>
      <c r="O309" s="247"/>
      <c r="P309" s="247"/>
      <c r="Q309" s="247"/>
      <c r="R309" s="247"/>
    </row>
    <row r="310" spans="4:18" x14ac:dyDescent="0.3">
      <c r="D310" s="247"/>
      <c r="E310" s="247"/>
      <c r="O310" s="247"/>
      <c r="P310" s="247"/>
      <c r="Q310" s="247"/>
      <c r="R310" s="247"/>
    </row>
    <row r="311" spans="4:18" x14ac:dyDescent="0.3">
      <c r="D311" s="247"/>
      <c r="E311" s="247"/>
      <c r="O311" s="247"/>
      <c r="P311" s="247"/>
      <c r="Q311" s="247"/>
      <c r="R311" s="247"/>
    </row>
    <row r="312" spans="4:18" x14ac:dyDescent="0.3">
      <c r="D312" s="247"/>
      <c r="E312" s="247"/>
      <c r="O312" s="247"/>
      <c r="P312" s="247"/>
      <c r="Q312" s="247"/>
      <c r="R312" s="247"/>
    </row>
    <row r="313" spans="4:18" x14ac:dyDescent="0.3">
      <c r="D313" s="247"/>
      <c r="E313" s="247"/>
      <c r="O313" s="247"/>
      <c r="P313" s="247"/>
      <c r="Q313" s="247"/>
      <c r="R313" s="247"/>
    </row>
    <row r="314" spans="4:18" x14ac:dyDescent="0.3">
      <c r="D314" s="247"/>
      <c r="E314" s="247"/>
      <c r="O314" s="247"/>
      <c r="P314" s="247"/>
      <c r="Q314" s="247"/>
      <c r="R314" s="247"/>
    </row>
    <row r="315" spans="4:18" x14ac:dyDescent="0.3">
      <c r="D315" s="247"/>
      <c r="E315" s="247"/>
      <c r="O315" s="247"/>
      <c r="P315" s="247"/>
      <c r="Q315" s="247"/>
      <c r="R315" s="247"/>
    </row>
    <row r="316" spans="4:18" x14ac:dyDescent="0.3">
      <c r="D316" s="247"/>
      <c r="E316" s="247"/>
      <c r="O316" s="247"/>
      <c r="P316" s="247"/>
      <c r="Q316" s="247"/>
      <c r="R316" s="247"/>
    </row>
    <row r="317" spans="4:18" x14ac:dyDescent="0.3">
      <c r="D317" s="247"/>
      <c r="E317" s="247"/>
      <c r="O317" s="247"/>
      <c r="P317" s="247"/>
      <c r="Q317" s="247"/>
      <c r="R317" s="247"/>
    </row>
    <row r="318" spans="4:18" x14ac:dyDescent="0.3">
      <c r="D318" s="247"/>
      <c r="E318" s="247"/>
      <c r="O318" s="247"/>
      <c r="P318" s="247"/>
      <c r="Q318" s="247"/>
      <c r="R318" s="247"/>
    </row>
    <row r="319" spans="4:18" x14ac:dyDescent="0.3">
      <c r="D319" s="247"/>
      <c r="E319" s="247"/>
      <c r="O319" s="247"/>
      <c r="P319" s="247"/>
      <c r="Q319" s="247"/>
      <c r="R319" s="247"/>
    </row>
    <row r="320" spans="4:18" x14ac:dyDescent="0.3">
      <c r="D320" s="247"/>
      <c r="E320" s="247"/>
      <c r="O320" s="247"/>
      <c r="P320" s="247"/>
      <c r="Q320" s="247"/>
      <c r="R320" s="247"/>
    </row>
    <row r="321" spans="4:18" x14ac:dyDescent="0.3">
      <c r="D321" s="247"/>
      <c r="E321" s="247"/>
      <c r="O321" s="247"/>
      <c r="P321" s="247"/>
      <c r="Q321" s="247"/>
      <c r="R321" s="247"/>
    </row>
    <row r="322" spans="4:18" x14ac:dyDescent="0.3">
      <c r="D322" s="247"/>
      <c r="E322" s="247"/>
      <c r="O322" s="247"/>
      <c r="P322" s="247"/>
      <c r="Q322" s="247"/>
      <c r="R322" s="247"/>
    </row>
    <row r="323" spans="4:18" x14ac:dyDescent="0.3">
      <c r="D323" s="247"/>
      <c r="E323" s="247"/>
      <c r="O323" s="247"/>
      <c r="P323" s="247"/>
      <c r="Q323" s="247"/>
      <c r="R323" s="247"/>
    </row>
    <row r="324" spans="4:18" x14ac:dyDescent="0.3">
      <c r="D324" s="247"/>
      <c r="E324" s="247"/>
      <c r="O324" s="247"/>
      <c r="P324" s="247"/>
      <c r="Q324" s="247"/>
      <c r="R324" s="247"/>
    </row>
    <row r="325" spans="4:18" x14ac:dyDescent="0.3">
      <c r="D325" s="247"/>
      <c r="E325" s="247"/>
      <c r="O325" s="247"/>
      <c r="P325" s="247"/>
      <c r="Q325" s="247"/>
      <c r="R325" s="247"/>
    </row>
    <row r="326" spans="4:18" x14ac:dyDescent="0.3">
      <c r="D326" s="247"/>
      <c r="E326" s="247"/>
      <c r="O326" s="247"/>
      <c r="P326" s="247"/>
      <c r="Q326" s="247"/>
      <c r="R326" s="247"/>
    </row>
    <row r="327" spans="4:18" x14ac:dyDescent="0.3">
      <c r="D327" s="247"/>
      <c r="E327" s="247"/>
      <c r="O327" s="247"/>
      <c r="P327" s="247"/>
      <c r="Q327" s="247"/>
      <c r="R327" s="247"/>
    </row>
    <row r="328" spans="4:18" x14ac:dyDescent="0.3">
      <c r="D328" s="247"/>
    </row>
    <row r="329" spans="4:18" x14ac:dyDescent="0.3">
      <c r="D329" s="247"/>
    </row>
    <row r="330" spans="4:18" x14ac:dyDescent="0.3">
      <c r="D330" s="247"/>
    </row>
    <row r="331" spans="4:18" x14ac:dyDescent="0.3">
      <c r="D331" s="247"/>
    </row>
    <row r="332" spans="4:18" x14ac:dyDescent="0.3">
      <c r="D332" s="247"/>
    </row>
    <row r="333" spans="4:18" x14ac:dyDescent="0.3">
      <c r="D333" s="247"/>
    </row>
    <row r="334" spans="4:18" x14ac:dyDescent="0.3">
      <c r="D334" s="247"/>
    </row>
    <row r="335" spans="4:18" x14ac:dyDescent="0.3">
      <c r="D335" s="247"/>
    </row>
    <row r="392" spans="3:3" ht="15" customHeight="1" x14ac:dyDescent="0.3"/>
    <row r="400" spans="3:3" ht="18" x14ac:dyDescent="0.35">
      <c r="C400" s="261"/>
    </row>
    <row r="405" spans="3:20" ht="18" x14ac:dyDescent="0.35">
      <c r="C405" s="261"/>
      <c r="I405" s="280"/>
    </row>
    <row r="406" spans="3:20" x14ac:dyDescent="0.3">
      <c r="I406" s="280"/>
    </row>
    <row r="407" spans="3:20" x14ac:dyDescent="0.3">
      <c r="I407" s="280"/>
    </row>
    <row r="408" spans="3:20" x14ac:dyDescent="0.3">
      <c r="I408" s="280"/>
    </row>
    <row r="409" spans="3:20" x14ac:dyDescent="0.3">
      <c r="F409" s="280"/>
      <c r="G409" s="280"/>
      <c r="H409" s="280"/>
      <c r="I409" s="280"/>
    </row>
    <row r="410" spans="3:20" x14ac:dyDescent="0.3">
      <c r="F410" s="280"/>
      <c r="G410" s="280"/>
      <c r="H410" s="280"/>
      <c r="I410" s="280"/>
    </row>
    <row r="411" spans="3:20" x14ac:dyDescent="0.3">
      <c r="E411" s="281"/>
      <c r="F411" s="280"/>
      <c r="G411" s="280"/>
      <c r="H411" s="280"/>
      <c r="I411" s="280"/>
      <c r="J411" s="280"/>
      <c r="K411" s="280"/>
      <c r="L411" s="280"/>
      <c r="M411" s="280"/>
      <c r="N411" s="280"/>
      <c r="O411" s="282"/>
      <c r="P411" s="282"/>
      <c r="Q411" s="282"/>
      <c r="R411" s="282"/>
      <c r="S411" s="282"/>
      <c r="T411" s="282"/>
    </row>
    <row r="412" spans="3:20" ht="21" x14ac:dyDescent="0.4">
      <c r="E412" s="281"/>
      <c r="F412" s="280"/>
      <c r="G412" s="280"/>
      <c r="H412" s="280"/>
      <c r="I412" s="280"/>
      <c r="J412" s="284"/>
      <c r="K412" s="280"/>
      <c r="L412" s="280"/>
      <c r="M412" s="280"/>
      <c r="N412" s="280"/>
      <c r="O412" s="282"/>
      <c r="P412" s="282"/>
      <c r="Q412" s="283"/>
      <c r="R412" s="282"/>
      <c r="S412" s="282"/>
      <c r="T412" s="282"/>
    </row>
    <row r="413" spans="3:20" x14ac:dyDescent="0.3">
      <c r="E413" s="281"/>
      <c r="F413" s="280"/>
      <c r="G413" s="280"/>
      <c r="H413" s="280"/>
      <c r="J413" s="280"/>
      <c r="K413" s="280"/>
      <c r="L413" s="280"/>
      <c r="M413" s="280"/>
      <c r="N413" s="280"/>
      <c r="O413" s="282"/>
      <c r="P413" s="282"/>
      <c r="Q413" s="282"/>
      <c r="R413" s="282"/>
      <c r="S413" s="282"/>
      <c r="T413" s="282"/>
    </row>
    <row r="414" spans="3:20" ht="21" x14ac:dyDescent="0.4">
      <c r="E414" s="281"/>
      <c r="F414" s="280"/>
      <c r="G414" s="280"/>
      <c r="H414" s="280"/>
      <c r="I414" s="265"/>
      <c r="J414" s="280"/>
      <c r="K414" s="280"/>
      <c r="L414" s="280"/>
      <c r="M414" s="280"/>
      <c r="N414" s="280"/>
      <c r="O414" s="282"/>
      <c r="P414" s="282"/>
      <c r="Q414" s="282"/>
      <c r="R414" s="282"/>
      <c r="S414" s="282"/>
      <c r="T414" s="282"/>
    </row>
    <row r="415" spans="3:20" x14ac:dyDescent="0.3">
      <c r="E415" s="281"/>
      <c r="F415" s="280"/>
      <c r="G415" s="280"/>
      <c r="H415" s="280"/>
      <c r="J415" s="280"/>
      <c r="K415" s="280"/>
      <c r="L415" s="280"/>
      <c r="M415" s="280"/>
      <c r="N415" s="280"/>
      <c r="O415" s="282"/>
      <c r="P415" s="282"/>
      <c r="Q415" s="282"/>
      <c r="R415" s="282"/>
      <c r="S415" s="282"/>
      <c r="T415" s="282"/>
    </row>
    <row r="416" spans="3:20" x14ac:dyDescent="0.3">
      <c r="E416" s="281"/>
      <c r="F416" s="280"/>
      <c r="G416" s="280"/>
      <c r="H416" s="280"/>
      <c r="J416" s="280"/>
      <c r="K416" s="280"/>
      <c r="L416" s="280"/>
      <c r="M416" s="280"/>
      <c r="N416" s="280"/>
      <c r="O416" s="282"/>
      <c r="P416" s="282"/>
      <c r="Q416" s="282"/>
      <c r="R416" s="282"/>
      <c r="S416" s="282"/>
      <c r="T416" s="282"/>
    </row>
    <row r="417" spans="1:29" x14ac:dyDescent="0.3">
      <c r="E417" s="281"/>
      <c r="J417" s="280"/>
      <c r="K417" s="280"/>
      <c r="L417" s="280"/>
      <c r="M417" s="280"/>
      <c r="N417" s="280"/>
      <c r="O417" s="282"/>
      <c r="P417" s="282"/>
      <c r="Q417" s="282"/>
      <c r="R417" s="282"/>
      <c r="S417" s="282"/>
      <c r="T417" s="282"/>
    </row>
    <row r="418" spans="1:29" ht="21" x14ac:dyDescent="0.4">
      <c r="E418" s="281"/>
      <c r="G418" s="265"/>
      <c r="H418" s="265"/>
      <c r="J418" s="280"/>
      <c r="K418" s="280"/>
      <c r="L418" s="280"/>
      <c r="M418" s="280"/>
      <c r="N418" s="280"/>
      <c r="O418" s="282"/>
      <c r="P418" s="282"/>
      <c r="Q418" s="282"/>
      <c r="R418" s="282"/>
      <c r="S418" s="282"/>
      <c r="T418" s="282"/>
    </row>
    <row r="419" spans="1:29" x14ac:dyDescent="0.3">
      <c r="A419" s="280"/>
      <c r="B419" s="280"/>
      <c r="C419" s="280"/>
      <c r="D419" s="281"/>
    </row>
    <row r="420" spans="1:29" ht="21" x14ac:dyDescent="0.4">
      <c r="A420" s="280"/>
      <c r="B420" s="280"/>
      <c r="C420" s="283"/>
      <c r="D420" s="281"/>
      <c r="J420" s="265"/>
    </row>
    <row r="421" spans="1:29" x14ac:dyDescent="0.3">
      <c r="A421" s="280"/>
      <c r="B421" s="280"/>
      <c r="C421" s="280"/>
      <c r="D421" s="281"/>
      <c r="O421" s="247"/>
    </row>
    <row r="422" spans="1:29" x14ac:dyDescent="0.3">
      <c r="A422" s="280"/>
      <c r="B422" s="280"/>
      <c r="C422" s="280"/>
      <c r="D422" s="281"/>
      <c r="O422" s="247"/>
    </row>
    <row r="423" spans="1:29" ht="15" customHeight="1" x14ac:dyDescent="0.3">
      <c r="A423" s="280"/>
      <c r="B423" s="280"/>
      <c r="C423" s="280"/>
      <c r="D423" s="281"/>
      <c r="O423" s="247"/>
    </row>
    <row r="424" spans="1:29" x14ac:dyDescent="0.3">
      <c r="A424" s="280"/>
      <c r="B424" s="280"/>
      <c r="C424" s="280"/>
      <c r="D424" s="281"/>
      <c r="O424" s="247"/>
    </row>
    <row r="425" spans="1:29" x14ac:dyDescent="0.3">
      <c r="A425" s="280"/>
      <c r="B425" s="280"/>
      <c r="C425" s="280"/>
      <c r="D425" s="281"/>
      <c r="O425" s="247"/>
    </row>
    <row r="426" spans="1:29" x14ac:dyDescent="0.3">
      <c r="A426" s="280"/>
      <c r="B426" s="280"/>
      <c r="C426" s="280"/>
      <c r="D426" s="281"/>
      <c r="O426" s="247"/>
    </row>
    <row r="427" spans="1:29" x14ac:dyDescent="0.3">
      <c r="O427" s="247"/>
    </row>
    <row r="428" spans="1:29" x14ac:dyDescent="0.3">
      <c r="O428" s="247"/>
    </row>
    <row r="429" spans="1:29" x14ac:dyDescent="0.3">
      <c r="O429" s="247"/>
    </row>
    <row r="430" spans="1:29" ht="18.75" customHeight="1" x14ac:dyDescent="0.35">
      <c r="O430" s="247"/>
      <c r="P430" s="247"/>
      <c r="Q430" s="261"/>
      <c r="R430" s="247"/>
    </row>
    <row r="431" spans="1:29" x14ac:dyDescent="0.3">
      <c r="O431" s="247"/>
      <c r="P431" s="249"/>
      <c r="Q431" s="249"/>
      <c r="R431" s="249"/>
      <c r="S431" s="263"/>
      <c r="T431" s="263"/>
      <c r="U431" s="263"/>
      <c r="V431" s="263"/>
      <c r="W431" s="263"/>
      <c r="X431" s="263"/>
      <c r="Y431" s="263"/>
      <c r="Z431" s="263"/>
      <c r="AA431" s="263"/>
      <c r="AB431" s="263"/>
      <c r="AC431" s="263"/>
    </row>
    <row r="432" spans="1:29" x14ac:dyDescent="0.3">
      <c r="O432" s="247"/>
      <c r="P432" s="249"/>
      <c r="Q432" s="249"/>
      <c r="R432" s="249"/>
      <c r="S432" s="263"/>
      <c r="T432" s="263"/>
      <c r="U432" s="263"/>
      <c r="V432" s="263"/>
      <c r="W432" s="263"/>
      <c r="X432" s="263"/>
      <c r="Y432" s="263"/>
      <c r="Z432" s="263"/>
      <c r="AA432" s="263"/>
      <c r="AB432" s="263"/>
      <c r="AC432" s="263"/>
    </row>
    <row r="433" spans="4:31" x14ac:dyDescent="0.3">
      <c r="O433" s="247"/>
      <c r="P433" s="247"/>
      <c r="Q433" s="247"/>
      <c r="R433" s="247"/>
    </row>
    <row r="434" spans="4:31" x14ac:dyDescent="0.3">
      <c r="O434" s="247"/>
      <c r="P434" s="247"/>
      <c r="Q434" s="247"/>
      <c r="R434" s="247"/>
    </row>
    <row r="435" spans="4:31" x14ac:dyDescent="0.3">
      <c r="AD435" s="263"/>
    </row>
    <row r="436" spans="4:31" x14ac:dyDescent="0.3">
      <c r="AD436" s="263"/>
    </row>
    <row r="437" spans="4:31" x14ac:dyDescent="0.3">
      <c r="K437" s="285"/>
    </row>
    <row r="438" spans="4:31" x14ac:dyDescent="0.3">
      <c r="K438" s="286"/>
    </row>
    <row r="439" spans="4:31" x14ac:dyDescent="0.3">
      <c r="E439" s="247"/>
      <c r="K439" s="286"/>
      <c r="AE439" s="121"/>
    </row>
    <row r="440" spans="4:31" x14ac:dyDescent="0.3">
      <c r="E440" s="247"/>
      <c r="K440" s="286"/>
      <c r="AE440" s="121"/>
    </row>
    <row r="441" spans="4:31" ht="21" x14ac:dyDescent="0.4">
      <c r="E441" s="247"/>
      <c r="I441" s="265"/>
    </row>
    <row r="442" spans="4:31" ht="15.6" x14ac:dyDescent="0.3">
      <c r="E442" s="247"/>
      <c r="K442" s="287"/>
    </row>
    <row r="443" spans="4:31" ht="15.6" x14ac:dyDescent="0.3">
      <c r="E443" s="247"/>
      <c r="K443" s="287"/>
    </row>
    <row r="444" spans="4:31" ht="15.6" x14ac:dyDescent="0.3">
      <c r="E444" s="247"/>
      <c r="K444" s="287"/>
    </row>
    <row r="445" spans="4:31" ht="21" x14ac:dyDescent="0.4">
      <c r="G445" s="265"/>
      <c r="H445" s="265"/>
    </row>
    <row r="447" spans="4:31" ht="21" x14ac:dyDescent="0.4">
      <c r="D447" s="247"/>
      <c r="J447" s="265"/>
    </row>
    <row r="448" spans="4:31" x14ac:dyDescent="0.3">
      <c r="D448" s="247"/>
    </row>
    <row r="449" spans="4:4" x14ac:dyDescent="0.3">
      <c r="D449" s="247"/>
    </row>
    <row r="450" spans="4:4" x14ac:dyDescent="0.3">
      <c r="D450" s="247"/>
    </row>
    <row r="451" spans="4:4" x14ac:dyDescent="0.3">
      <c r="D451" s="247"/>
    </row>
    <row r="452" spans="4:4" x14ac:dyDescent="0.3">
      <c r="D452" s="247"/>
    </row>
    <row r="505" spans="3:3" ht="18" x14ac:dyDescent="0.35">
      <c r="C505" s="261"/>
    </row>
    <row r="516" spans="3:7" ht="21" x14ac:dyDescent="0.4">
      <c r="F516" s="265"/>
      <c r="G516" s="265"/>
    </row>
    <row r="518" spans="3:7" ht="15" customHeight="1" x14ac:dyDescent="0.4">
      <c r="E518" s="265"/>
    </row>
    <row r="526" spans="3:7" ht="21" x14ac:dyDescent="0.4">
      <c r="C526" s="265"/>
      <c r="D526" s="265"/>
    </row>
    <row r="617" spans="15:19" x14ac:dyDescent="0.3">
      <c r="O617" s="247"/>
      <c r="P617" s="247"/>
      <c r="Q617" s="247"/>
      <c r="R617" s="247"/>
      <c r="S617" s="247"/>
    </row>
    <row r="618" spans="15:19" x14ac:dyDescent="0.3">
      <c r="O618" s="247"/>
      <c r="P618" s="247"/>
      <c r="Q618" s="247"/>
      <c r="R618" s="247"/>
      <c r="S618" s="247"/>
    </row>
    <row r="619" spans="15:19" x14ac:dyDescent="0.3">
      <c r="O619" s="247"/>
      <c r="P619" s="247"/>
      <c r="Q619" s="247"/>
      <c r="R619" s="247"/>
      <c r="S619" s="247"/>
    </row>
    <row r="620" spans="15:19" x14ac:dyDescent="0.3">
      <c r="O620" s="247"/>
      <c r="P620" s="247"/>
      <c r="Q620" s="247"/>
      <c r="R620" s="247"/>
      <c r="S620" s="247"/>
    </row>
    <row r="621" spans="15:19" x14ac:dyDescent="0.3">
      <c r="O621" s="247"/>
      <c r="P621" s="247"/>
      <c r="Q621" s="247"/>
      <c r="R621" s="247"/>
      <c r="S621" s="247"/>
    </row>
    <row r="622" spans="15:19" x14ac:dyDescent="0.3">
      <c r="O622" s="247"/>
      <c r="P622" s="247"/>
      <c r="Q622" s="247"/>
      <c r="R622" s="247"/>
      <c r="S622" s="247"/>
    </row>
    <row r="623" spans="15:19" x14ac:dyDescent="0.3">
      <c r="O623" s="247"/>
      <c r="P623" s="247"/>
      <c r="Q623" s="247"/>
      <c r="R623" s="247"/>
      <c r="S623" s="247"/>
    </row>
    <row r="700" spans="12:12" ht="15.6" x14ac:dyDescent="0.3">
      <c r="L700" s="288"/>
    </row>
    <row r="706" spans="3:18" ht="18" x14ac:dyDescent="0.35">
      <c r="C706" s="261"/>
    </row>
    <row r="708" spans="3:18" ht="15.6" x14ac:dyDescent="0.3">
      <c r="C708" s="288"/>
    </row>
    <row r="711" spans="3:18" x14ac:dyDescent="0.3">
      <c r="I711" s="253"/>
    </row>
    <row r="712" spans="3:18" x14ac:dyDescent="0.3">
      <c r="I712" s="253"/>
      <c r="O712" s="252"/>
    </row>
    <row r="713" spans="3:18" x14ac:dyDescent="0.3">
      <c r="I713" s="253"/>
      <c r="O713" s="252"/>
    </row>
    <row r="714" spans="3:18" x14ac:dyDescent="0.3">
      <c r="O714" s="252"/>
    </row>
    <row r="715" spans="3:18" x14ac:dyDescent="0.3">
      <c r="F715" s="253"/>
      <c r="G715" s="253"/>
      <c r="H715" s="253"/>
      <c r="O715" s="252"/>
    </row>
    <row r="716" spans="3:18" x14ac:dyDescent="0.3">
      <c r="F716" s="253"/>
      <c r="G716" s="253"/>
      <c r="H716" s="253"/>
      <c r="O716" s="252"/>
    </row>
    <row r="717" spans="3:18" x14ac:dyDescent="0.3">
      <c r="F717" s="253"/>
      <c r="G717" s="253"/>
      <c r="H717" s="253"/>
      <c r="I717" s="253"/>
      <c r="J717" s="253"/>
      <c r="L717" s="252"/>
      <c r="O717" s="252"/>
    </row>
    <row r="718" spans="3:18" x14ac:dyDescent="0.3">
      <c r="F718" s="253"/>
      <c r="J718" s="253"/>
      <c r="O718" s="252"/>
      <c r="R718" s="289"/>
    </row>
    <row r="719" spans="3:18" x14ac:dyDescent="0.3">
      <c r="F719" s="253"/>
      <c r="J719" s="253"/>
      <c r="O719" s="252"/>
    </row>
    <row r="720" spans="3:18" x14ac:dyDescent="0.3">
      <c r="F720" s="253"/>
    </row>
    <row r="721" spans="3:15" x14ac:dyDescent="0.3">
      <c r="F721" s="253"/>
      <c r="G721" s="253"/>
      <c r="H721" s="253"/>
    </row>
    <row r="723" spans="3:15" x14ac:dyDescent="0.3">
      <c r="J723" s="253"/>
    </row>
    <row r="727" spans="3:15" x14ac:dyDescent="0.3">
      <c r="C727" s="252"/>
    </row>
    <row r="731" spans="3:15" ht="15.6" x14ac:dyDescent="0.3">
      <c r="C731" s="290"/>
      <c r="O731" s="288"/>
    </row>
    <row r="747" spans="3:16" x14ac:dyDescent="0.3">
      <c r="P747" s="289"/>
    </row>
    <row r="749" spans="3:16" x14ac:dyDescent="0.3">
      <c r="C749" s="252"/>
    </row>
    <row r="797" ht="15" customHeight="1" x14ac:dyDescent="0.3"/>
    <row r="805" spans="3:9" ht="18" x14ac:dyDescent="0.35">
      <c r="C805" s="261"/>
    </row>
    <row r="814" spans="3:9" x14ac:dyDescent="0.3">
      <c r="I814" s="248"/>
    </row>
    <row r="815" spans="3:9" x14ac:dyDescent="0.3">
      <c r="I815" s="248"/>
    </row>
    <row r="816" spans="3:9" x14ac:dyDescent="0.3">
      <c r="I816" s="248"/>
    </row>
    <row r="817" spans="2:31" x14ac:dyDescent="0.3">
      <c r="I817" s="248"/>
    </row>
    <row r="818" spans="2:31" x14ac:dyDescent="0.3">
      <c r="F818" s="248"/>
      <c r="G818" s="248"/>
      <c r="H818" s="248"/>
      <c r="I818" s="248"/>
    </row>
    <row r="819" spans="2:31" x14ac:dyDescent="0.3">
      <c r="F819" s="248"/>
      <c r="G819" s="248"/>
      <c r="H819" s="248"/>
      <c r="I819" s="248"/>
    </row>
    <row r="820" spans="2:31" x14ac:dyDescent="0.3">
      <c r="F820" s="248"/>
      <c r="G820" s="248"/>
      <c r="H820" s="248"/>
      <c r="I820" s="248"/>
      <c r="J820" s="248"/>
      <c r="K820" s="248"/>
      <c r="L820" s="248"/>
      <c r="M820" s="248"/>
      <c r="N820" s="248"/>
      <c r="O820" s="248"/>
      <c r="P820" s="248"/>
      <c r="Q820" s="248"/>
      <c r="R820" s="248"/>
      <c r="S820" s="248"/>
      <c r="T820" s="248"/>
      <c r="U820" s="248"/>
    </row>
    <row r="821" spans="2:31" x14ac:dyDescent="0.3">
      <c r="F821" s="248"/>
      <c r="G821" s="248"/>
      <c r="H821" s="248"/>
      <c r="I821" s="248"/>
      <c r="J821" s="248"/>
      <c r="K821" s="248"/>
      <c r="L821" s="248"/>
      <c r="M821" s="248"/>
      <c r="N821" s="248"/>
      <c r="O821" s="248"/>
      <c r="P821" s="248"/>
      <c r="Q821" s="248"/>
      <c r="R821" s="248"/>
      <c r="S821" s="248"/>
      <c r="T821" s="248"/>
      <c r="U821" s="248"/>
    </row>
    <row r="822" spans="2:31" x14ac:dyDescent="0.3">
      <c r="F822" s="248"/>
      <c r="G822" s="248"/>
      <c r="H822" s="248"/>
      <c r="I822" s="248"/>
      <c r="J822" s="248"/>
      <c r="K822" s="248"/>
      <c r="L822" s="248"/>
      <c r="M822" s="248"/>
      <c r="N822" s="248"/>
      <c r="O822" s="248"/>
      <c r="P822" s="248"/>
      <c r="Q822" s="248"/>
      <c r="R822" s="248"/>
      <c r="S822" s="248"/>
      <c r="T822" s="248"/>
      <c r="U822" s="248"/>
    </row>
    <row r="823" spans="2:31" x14ac:dyDescent="0.3">
      <c r="F823" s="248"/>
      <c r="G823" s="248"/>
      <c r="H823" s="248"/>
      <c r="I823" s="248"/>
      <c r="J823" s="248"/>
      <c r="K823" s="248"/>
      <c r="L823" s="248"/>
      <c r="M823" s="248"/>
      <c r="N823" s="248"/>
      <c r="O823" s="248"/>
      <c r="P823" s="248"/>
      <c r="Q823" s="248"/>
      <c r="R823" s="248"/>
      <c r="S823" s="248"/>
      <c r="T823" s="248"/>
      <c r="U823" s="248"/>
    </row>
    <row r="824" spans="2:31" x14ac:dyDescent="0.3">
      <c r="F824" s="248"/>
      <c r="G824" s="248"/>
      <c r="H824" s="248"/>
      <c r="J824" s="248"/>
      <c r="K824" s="248"/>
      <c r="L824" s="248"/>
      <c r="M824" s="248"/>
      <c r="N824" s="248"/>
      <c r="O824" s="248"/>
      <c r="P824" s="248"/>
      <c r="Q824" s="248"/>
      <c r="R824" s="248"/>
      <c r="S824" s="248"/>
      <c r="T824" s="248"/>
      <c r="U824" s="248"/>
      <c r="V824" s="264"/>
      <c r="W824" s="264"/>
      <c r="X824" s="264"/>
      <c r="Y824" s="264"/>
      <c r="Z824" s="264"/>
      <c r="AA824" s="264"/>
      <c r="AB824" s="264"/>
      <c r="AC824" s="264"/>
    </row>
    <row r="825" spans="2:31" x14ac:dyDescent="0.3">
      <c r="F825" s="248"/>
      <c r="G825" s="248"/>
      <c r="H825" s="248"/>
      <c r="J825" s="248"/>
      <c r="K825" s="248"/>
      <c r="L825" s="248"/>
      <c r="M825" s="248"/>
      <c r="N825" s="248"/>
      <c r="O825" s="248"/>
      <c r="P825" s="248"/>
      <c r="Q825" s="248"/>
      <c r="R825" s="248"/>
      <c r="S825" s="248"/>
      <c r="T825" s="248"/>
      <c r="U825" s="248"/>
      <c r="V825" s="264"/>
      <c r="W825" s="264"/>
      <c r="X825" s="264"/>
      <c r="Y825" s="264"/>
      <c r="Z825" s="264"/>
      <c r="AA825" s="264"/>
      <c r="AB825" s="264"/>
      <c r="AC825" s="264"/>
    </row>
    <row r="826" spans="2:31" x14ac:dyDescent="0.3">
      <c r="F826" s="248"/>
      <c r="G826" s="248"/>
      <c r="H826" s="248"/>
      <c r="J826" s="248"/>
      <c r="K826" s="248"/>
      <c r="L826" s="248"/>
      <c r="M826" s="248"/>
      <c r="N826" s="248"/>
      <c r="O826" s="248"/>
      <c r="P826" s="248"/>
      <c r="Q826" s="248"/>
      <c r="R826" s="248"/>
      <c r="S826" s="248"/>
      <c r="T826" s="248"/>
      <c r="U826" s="248"/>
      <c r="V826" s="264"/>
      <c r="W826" s="264"/>
      <c r="X826" s="264"/>
      <c r="Y826" s="264"/>
      <c r="Z826" s="264"/>
      <c r="AA826" s="264"/>
      <c r="AB826" s="264"/>
      <c r="AC826" s="264"/>
    </row>
    <row r="827" spans="2:31" x14ac:dyDescent="0.3">
      <c r="F827" s="248"/>
      <c r="G827" s="248"/>
      <c r="H827" s="248"/>
      <c r="J827" s="248"/>
      <c r="K827" s="248"/>
      <c r="L827" s="248"/>
      <c r="M827" s="248"/>
      <c r="N827" s="248"/>
      <c r="O827" s="248"/>
      <c r="P827" s="248"/>
      <c r="Q827" s="248"/>
      <c r="R827" s="248"/>
      <c r="S827" s="248"/>
      <c r="T827" s="248"/>
      <c r="U827" s="248"/>
      <c r="V827" s="264"/>
      <c r="W827" s="264"/>
      <c r="X827" s="264"/>
      <c r="Y827" s="264"/>
      <c r="Z827" s="264"/>
      <c r="AA827" s="264"/>
      <c r="AB827" s="264"/>
      <c r="AC827" s="264"/>
    </row>
    <row r="828" spans="2:31" x14ac:dyDescent="0.3">
      <c r="B828" s="248"/>
      <c r="C828" s="248"/>
      <c r="J828" s="248"/>
      <c r="K828" s="248"/>
      <c r="L828" s="248"/>
      <c r="M828" s="248"/>
      <c r="N828" s="248"/>
      <c r="O828" s="248"/>
      <c r="P828" s="248"/>
      <c r="Q828" s="248"/>
      <c r="R828" s="248"/>
      <c r="S828" s="248"/>
      <c r="T828" s="248"/>
      <c r="U828" s="248"/>
      <c r="AD828" s="264"/>
    </row>
    <row r="829" spans="2:31" x14ac:dyDescent="0.3">
      <c r="B829" s="248"/>
      <c r="C829" s="248"/>
      <c r="J829" s="248"/>
      <c r="K829" s="248"/>
      <c r="L829" s="248"/>
      <c r="M829" s="248"/>
      <c r="N829" s="248"/>
      <c r="O829" s="248"/>
      <c r="P829" s="248"/>
      <c r="Q829" s="248"/>
      <c r="R829" s="248"/>
      <c r="S829" s="248"/>
      <c r="T829" s="248"/>
      <c r="U829" s="248"/>
      <c r="AD829" s="264"/>
    </row>
    <row r="830" spans="2:31" x14ac:dyDescent="0.3">
      <c r="B830" s="248"/>
      <c r="C830" s="248"/>
      <c r="AD830" s="264"/>
    </row>
    <row r="831" spans="2:31" x14ac:dyDescent="0.3">
      <c r="B831" s="248"/>
      <c r="C831" s="248"/>
      <c r="AD831" s="264"/>
    </row>
    <row r="832" spans="2:31" x14ac:dyDescent="0.3">
      <c r="B832" s="248"/>
      <c r="C832" s="248"/>
      <c r="AE832" s="213"/>
    </row>
    <row r="833" spans="2:31" x14ac:dyDescent="0.3">
      <c r="B833" s="248"/>
      <c r="C833" s="248"/>
      <c r="AE833" s="213"/>
    </row>
    <row r="834" spans="2:31" x14ac:dyDescent="0.3">
      <c r="B834" s="248"/>
      <c r="C834" s="248"/>
      <c r="AE834" s="213"/>
    </row>
    <row r="835" spans="2:31" x14ac:dyDescent="0.3">
      <c r="B835" s="248"/>
      <c r="C835" s="248"/>
      <c r="AE835" s="213"/>
    </row>
    <row r="836" spans="2:31" x14ac:dyDescent="0.3">
      <c r="B836" s="248"/>
      <c r="C836" s="248"/>
    </row>
    <row r="837" spans="2:31" x14ac:dyDescent="0.3">
      <c r="B837" s="248"/>
      <c r="C837" s="248"/>
    </row>
  </sheetData>
  <sheetProtection algorithmName="SHA-512" hashValue="ePNCllR/3GXQrea0YitIBoFddMLRz5OyjtJxcYHh4THYmBiveGqdUG4YtI0lEqg1qBKLDdhFl3S/Oz3jJe+NfQ==" saltValue="PDG085cg1UMird+NSiMDoQ==" spinCount="100000" sheet="1" objects="1" scenarios="1"/>
  <sortState ref="U11:W63">
    <sortCondition descending="1" ref="W11:W63"/>
    <sortCondition ref="V11:V63"/>
  </sortState>
  <mergeCells count="16">
    <mergeCell ref="ED28:EH28"/>
    <mergeCell ref="A3:A24"/>
    <mergeCell ref="A25:A34"/>
    <mergeCell ref="K1:N1"/>
    <mergeCell ref="P1:Q1"/>
    <mergeCell ref="ED3:EH3"/>
    <mergeCell ref="ED18:EH18"/>
    <mergeCell ref="EE21:EH21"/>
    <mergeCell ref="EE6:EH6"/>
    <mergeCell ref="A61:A69"/>
    <mergeCell ref="A35:A60"/>
    <mergeCell ref="ED38:EH38"/>
    <mergeCell ref="EE31:EH31"/>
    <mergeCell ref="EE41:EH41"/>
    <mergeCell ref="J52:J54"/>
    <mergeCell ref="J56:J57"/>
  </mergeCells>
  <conditionalFormatting sqref="B25:B34">
    <cfRule type="expression" dxfId="407" priority="373">
      <formula>$AN$72=0</formula>
    </cfRule>
  </conditionalFormatting>
  <conditionalFormatting sqref="B35:B60">
    <cfRule type="expression" dxfId="406" priority="372">
      <formula>$AN$73=0</formula>
    </cfRule>
  </conditionalFormatting>
  <conditionalFormatting sqref="O22:R22">
    <cfRule type="expression" dxfId="405" priority="310">
      <formula>$CA$46=1</formula>
    </cfRule>
  </conditionalFormatting>
  <conditionalFormatting sqref="O30:Q30">
    <cfRule type="expression" dxfId="404" priority="309">
      <formula>$CA$64=1</formula>
    </cfRule>
  </conditionalFormatting>
  <conditionalFormatting sqref="K16">
    <cfRule type="expression" dxfId="403" priority="307">
      <formula>$CD$56&gt;0</formula>
    </cfRule>
  </conditionalFormatting>
  <conditionalFormatting sqref="J13:L13">
    <cfRule type="expression" dxfId="402" priority="468">
      <formula>$CD$60=1</formula>
    </cfRule>
  </conditionalFormatting>
  <conditionalFormatting sqref="J4 L4 O4:Q4">
    <cfRule type="expression" dxfId="401" priority="302">
      <formula>$CJ$13+$CJ$36+$CJ$48+$CJ$55&gt;0</formula>
    </cfRule>
  </conditionalFormatting>
  <conditionalFormatting sqref="J7 L7:N7">
    <cfRule type="expression" dxfId="400" priority="301">
      <formula>$CJ$21+$CJ$29+$CG$94&gt;0</formula>
    </cfRule>
  </conditionalFormatting>
  <conditionalFormatting sqref="P21:R21">
    <cfRule type="expression" dxfId="399" priority="300">
      <formula>$CM$16&gt;0</formula>
    </cfRule>
  </conditionalFormatting>
  <conditionalFormatting sqref="N48:P48">
    <cfRule type="expression" dxfId="398" priority="299">
      <formula>$CM$69=1</formula>
    </cfRule>
  </conditionalFormatting>
  <conditionalFormatting sqref="Q40">
    <cfRule type="expression" dxfId="397" priority="469">
      <formula>$CP$10&gt;0</formula>
    </cfRule>
  </conditionalFormatting>
  <conditionalFormatting sqref="P41:Q41">
    <cfRule type="expression" dxfId="396" priority="470">
      <formula>$CP$12&gt;0</formula>
    </cfRule>
  </conditionalFormatting>
  <conditionalFormatting sqref="G51:G56">
    <cfRule type="expression" dxfId="395" priority="295">
      <formula>$CP$41&gt;0</formula>
    </cfRule>
    <cfRule type="expression" dxfId="394" priority="296">
      <formula>$CP$39&gt;0</formula>
    </cfRule>
  </conditionalFormatting>
  <conditionalFormatting sqref="P13:Q13">
    <cfRule type="expression" dxfId="393" priority="289">
      <formula>$CS$16+$CS$65+$CS$75&gt;0</formula>
    </cfRule>
  </conditionalFormatting>
  <conditionalFormatting sqref="Q17:Q18">
    <cfRule type="expression" dxfId="392" priority="288">
      <formula>$CS$10&gt;0</formula>
    </cfRule>
  </conditionalFormatting>
  <conditionalFormatting sqref="Q47:S47">
    <cfRule type="expression" dxfId="391" priority="287">
      <formula>$CS$34=1</formula>
    </cfRule>
  </conditionalFormatting>
  <conditionalFormatting sqref="S43:S44">
    <cfRule type="expression" dxfId="390" priority="286">
      <formula>$CS$26+$CS$30&gt;0</formula>
    </cfRule>
  </conditionalFormatting>
  <conditionalFormatting sqref="S45">
    <cfRule type="expression" dxfId="389" priority="285">
      <formula>$CS$22+$CS$30&gt;0</formula>
    </cfRule>
  </conditionalFormatting>
  <conditionalFormatting sqref="S46">
    <cfRule type="expression" dxfId="388" priority="284">
      <formula>$CS$22+$CS$26&gt;0</formula>
    </cfRule>
  </conditionalFormatting>
  <conditionalFormatting sqref="O43:O44">
    <cfRule type="expression" dxfId="387" priority="283">
      <formula>$CM$26&gt;0</formula>
    </cfRule>
  </conditionalFormatting>
  <conditionalFormatting sqref="O45">
    <cfRule type="expression" dxfId="386" priority="282">
      <formula>$CM$65&gt;0</formula>
    </cfRule>
  </conditionalFormatting>
  <conditionalFormatting sqref="O46">
    <cfRule type="expression" dxfId="385" priority="281">
      <formula>$CM$39&gt;0</formula>
    </cfRule>
  </conditionalFormatting>
  <conditionalFormatting sqref="O47">
    <cfRule type="expression" dxfId="384" priority="280">
      <formula>$CM$52&gt;0</formula>
    </cfRule>
  </conditionalFormatting>
  <conditionalFormatting sqref="Q37:R37">
    <cfRule type="expression" dxfId="383" priority="279">
      <formula>$CS$46&gt;1</formula>
    </cfRule>
  </conditionalFormatting>
  <conditionalFormatting sqref="Q31:R31">
    <cfRule type="expression" dxfId="382" priority="278">
      <formula>$CS$42&gt;1</formula>
    </cfRule>
  </conditionalFormatting>
  <conditionalFormatting sqref="C3:C9 C25:C29 C35:C42 C51:C64 C67:C69">
    <cfRule type="expression" dxfId="381" priority="277">
      <formula>$AZ$16=1</formula>
    </cfRule>
  </conditionalFormatting>
  <conditionalFormatting sqref="Q27:Q29">
    <cfRule type="expression" dxfId="380" priority="276">
      <formula>$AZ$16=1</formula>
    </cfRule>
  </conditionalFormatting>
  <conditionalFormatting sqref="EE2 EE17 EE27 EE37">
    <cfRule type="expression" dxfId="379" priority="273">
      <formula>$CU$82&gt;0</formula>
    </cfRule>
  </conditionalFormatting>
  <conditionalFormatting sqref="Q39">
    <cfRule type="expression" dxfId="378" priority="272">
      <formula>$AZ$16=1</formula>
    </cfRule>
  </conditionalFormatting>
  <conditionalFormatting sqref="K64:K67">
    <cfRule type="expression" dxfId="377" priority="819">
      <formula>$AV$64+$AV$65+$AV$66+$AV$67&gt;0</formula>
    </cfRule>
    <cfRule type="expression" dxfId="376" priority="820">
      <formula>$AV$62+$AV$63=1</formula>
    </cfRule>
  </conditionalFormatting>
  <conditionalFormatting sqref="D2:E2">
    <cfRule type="expression" dxfId="375" priority="1158">
      <formula>$AN$75&gt;0</formula>
    </cfRule>
  </conditionalFormatting>
  <conditionalFormatting sqref="B4:B24">
    <cfRule type="expression" dxfId="374" priority="1159">
      <formula>$AN$71=0</formula>
    </cfRule>
  </conditionalFormatting>
  <conditionalFormatting sqref="B61:B69">
    <cfRule type="expression" dxfId="373" priority="1162">
      <formula>$AN$74=0</formula>
    </cfRule>
  </conditionalFormatting>
  <conditionalFormatting sqref="B3">
    <cfRule type="expression" dxfId="372" priority="242">
      <formula>$AN$71=0</formula>
    </cfRule>
  </conditionalFormatting>
  <conditionalFormatting sqref="G57">
    <cfRule type="expression" dxfId="371" priority="1277">
      <formula>$CG$74=1</formula>
    </cfRule>
  </conditionalFormatting>
  <conditionalFormatting sqref="Q20">
    <cfRule type="expression" dxfId="370" priority="241">
      <formula>$AZ$16=1</formula>
    </cfRule>
  </conditionalFormatting>
  <conditionalFormatting sqref="Q26:S26 Q28:S28">
    <cfRule type="expression" dxfId="369" priority="240">
      <formula>$CM$14&gt;0</formula>
    </cfRule>
  </conditionalFormatting>
  <conditionalFormatting sqref="M19:N19">
    <cfRule type="expression" dxfId="368" priority="238">
      <formula>$CS$51&gt;1</formula>
    </cfRule>
  </conditionalFormatting>
  <conditionalFormatting sqref="D3:D24">
    <cfRule type="cellIs" dxfId="367" priority="218" operator="greaterThan">
      <formula>0</formula>
    </cfRule>
  </conditionalFormatting>
  <conditionalFormatting sqref="K10:K11">
    <cfRule type="expression" dxfId="366" priority="1764">
      <formula>$AZ$12&gt;1</formula>
    </cfRule>
    <cfRule type="expression" dxfId="365" priority="1765">
      <formula>$AZ$12=1</formula>
    </cfRule>
    <cfRule type="expression" dxfId="364" priority="1766">
      <formula>$AN$71&gt;0</formula>
    </cfRule>
  </conditionalFormatting>
  <conditionalFormatting sqref="L5:N5">
    <cfRule type="expression" dxfId="363" priority="1773">
      <formula>$BG$5&gt;1</formula>
    </cfRule>
    <cfRule type="expression" dxfId="362" priority="1774">
      <formula>$BG$5=1</formula>
    </cfRule>
    <cfRule type="expression" dxfId="361" priority="1775">
      <formula>$AN$71&gt;0</formula>
    </cfRule>
  </conditionalFormatting>
  <conditionalFormatting sqref="P33:P36">
    <cfRule type="expression" dxfId="360" priority="1776">
      <formula>$BH$39&gt;1</formula>
    </cfRule>
    <cfRule type="expression" dxfId="359" priority="1777">
      <formula>$BH$39=1</formula>
    </cfRule>
    <cfRule type="expression" dxfId="358" priority="1778">
      <formula>$AN$72&gt;0</formula>
    </cfRule>
  </conditionalFormatting>
  <conditionalFormatting sqref="K52:K54">
    <cfRule type="expression" dxfId="357" priority="1779">
      <formula>$AZ$75&gt;1</formula>
    </cfRule>
    <cfRule type="expression" dxfId="356" priority="1780">
      <formula>$AZ$75=1</formula>
    </cfRule>
    <cfRule type="expression" dxfId="355" priority="1781">
      <formula>$AN$72+$AN$73&gt;0</formula>
    </cfRule>
  </conditionalFormatting>
  <conditionalFormatting sqref="L6:N6">
    <cfRule type="expression" dxfId="354" priority="1785">
      <formula>$BG$6&gt;1</formula>
    </cfRule>
    <cfRule type="expression" dxfId="353" priority="1786">
      <formula>$BG$6=1</formula>
    </cfRule>
    <cfRule type="expression" dxfId="352" priority="1787">
      <formula>$AN$72&gt;0</formula>
    </cfRule>
  </conditionalFormatting>
  <conditionalFormatting sqref="P24:P29">
    <cfRule type="expression" dxfId="351" priority="1788">
      <formula>$BH$31&gt;1</formula>
    </cfRule>
    <cfRule type="expression" dxfId="350" priority="1789">
      <formula>$BH$31=1</formula>
    </cfRule>
    <cfRule type="expression" dxfId="349" priority="1790">
      <formula>$AN$73&gt;0</formula>
    </cfRule>
  </conditionalFormatting>
  <conditionalFormatting sqref="P39:P40">
    <cfRule type="expression" dxfId="348" priority="1797">
      <formula>$BE$43&gt;1</formula>
    </cfRule>
    <cfRule type="expression" dxfId="347" priority="1798">
      <formula>$BE$43=1</formula>
    </cfRule>
    <cfRule type="expression" dxfId="346" priority="1799">
      <formula>$AN$74&gt;0</formula>
    </cfRule>
  </conditionalFormatting>
  <conditionalFormatting sqref="K56:K57">
    <cfRule type="expression" dxfId="345" priority="1800">
      <formula>$AZ$76&gt;1</formula>
    </cfRule>
    <cfRule type="expression" dxfId="344" priority="1801">
      <formula>$AZ$76=1</formula>
    </cfRule>
    <cfRule type="expression" dxfId="343" priority="1802">
      <formula>$AN$74&gt;0</formula>
    </cfRule>
  </conditionalFormatting>
  <conditionalFormatting sqref="J15:J16">
    <cfRule type="expression" dxfId="342" priority="1803">
      <formula>$AZ$17&gt;1</formula>
    </cfRule>
    <cfRule type="expression" dxfId="341" priority="1804">
      <formula>$AZ$17=1</formula>
    </cfRule>
    <cfRule type="expression" dxfId="340" priority="1805">
      <formula>$AN$75&gt;0</formula>
    </cfRule>
  </conditionalFormatting>
  <conditionalFormatting sqref="R49:R50">
    <cfRule type="expression" dxfId="339" priority="1806">
      <formula>$BI$57&gt;1</formula>
    </cfRule>
    <cfRule type="expression" dxfId="338" priority="1807">
      <formula>$BI$57=1</formula>
    </cfRule>
    <cfRule type="expression" dxfId="337" priority="1808">
      <formula>$AN$74&gt;0</formula>
    </cfRule>
  </conditionalFormatting>
  <conditionalFormatting sqref="L7:N7">
    <cfRule type="expression" dxfId="336" priority="1809">
      <formula>$BG$7&gt;1</formula>
    </cfRule>
    <cfRule type="expression" dxfId="335" priority="1810">
      <formula>$BG$7=1</formula>
    </cfRule>
    <cfRule type="expression" dxfId="334" priority="1811">
      <formula>$AN$73&gt;0</formula>
    </cfRule>
  </conditionalFormatting>
  <conditionalFormatting sqref="L4 O4:Q4">
    <cfRule type="expression" dxfId="333" priority="1812">
      <formula>$BG$4&gt;1</formula>
    </cfRule>
    <cfRule type="expression" dxfId="332" priority="1813">
      <formula>$BG$4=1</formula>
    </cfRule>
    <cfRule type="expression" dxfId="331" priority="1814">
      <formula>$AN$74&gt;0</formula>
    </cfRule>
  </conditionalFormatting>
  <conditionalFormatting sqref="P15:P20">
    <cfRule type="expression" dxfId="330" priority="1824">
      <formula>$BH$17&gt;1</formula>
    </cfRule>
    <cfRule type="expression" dxfId="329" priority="1825">
      <formula>$BH$17=1</formula>
    </cfRule>
    <cfRule type="expression" dxfId="328" priority="1826">
      <formula>$AN$71&gt;0</formula>
    </cfRule>
  </conditionalFormatting>
  <conditionalFormatting sqref="K61:K63">
    <cfRule type="expression" dxfId="327" priority="1836">
      <formula>$AV$61+$AV$62+$AV$63&gt;1</formula>
    </cfRule>
    <cfRule type="expression" dxfId="326" priority="1837">
      <formula>$AV$61+$AV$62+$AV$63=1</formula>
    </cfRule>
    <cfRule type="expression" dxfId="325" priority="1838">
      <formula>$AN$71&gt;0</formula>
    </cfRule>
  </conditionalFormatting>
  <conditionalFormatting sqref="D25:D34">
    <cfRule type="cellIs" dxfId="324" priority="172" operator="greaterThan">
      <formula>0</formula>
    </cfRule>
  </conditionalFormatting>
  <conditionalFormatting sqref="F3:F56">
    <cfRule type="expression" dxfId="323" priority="2394">
      <formula>$AR$57&gt;1</formula>
    </cfRule>
    <cfRule type="expression" dxfId="322" priority="2395">
      <formula>$AR$57=1</formula>
    </cfRule>
    <cfRule type="expression" dxfId="321" priority="2396">
      <formula>$AN$75&gt;0</formula>
    </cfRule>
  </conditionalFormatting>
  <conditionalFormatting sqref="K39:K40">
    <cfRule type="expression" dxfId="320" priority="2562">
      <formula>$AZ$41&gt;1</formula>
    </cfRule>
    <cfRule type="expression" dxfId="319" priority="2563">
      <formula>$AZ$41=1</formula>
    </cfRule>
    <cfRule type="expression" dxfId="318" priority="2564">
      <formula>$AN$72+$AN$73&gt;0</formula>
    </cfRule>
  </conditionalFormatting>
  <conditionalFormatting sqref="K34:K35">
    <cfRule type="expression" dxfId="317" priority="2565">
      <formula>$AZ$34+$AZ$35&gt;1</formula>
    </cfRule>
    <cfRule type="expression" dxfId="316" priority="2566">
      <formula>$AZ$34+$AZ$35=1</formula>
    </cfRule>
    <cfRule type="expression" dxfId="315" priority="2567">
      <formula>$AZ$31+$AZ$32&gt;0</formula>
    </cfRule>
  </conditionalFormatting>
  <conditionalFormatting sqref="CQ51:CQ52">
    <cfRule type="expression" dxfId="314" priority="64">
      <formula>$CP$27&gt;0</formula>
    </cfRule>
    <cfRule type="expression" dxfId="313" priority="65">
      <formula>$CP$20&gt;0</formula>
    </cfRule>
  </conditionalFormatting>
  <conditionalFormatting sqref="D35:D60">
    <cfRule type="cellIs" dxfId="312" priority="63" operator="greaterThan">
      <formula>0</formula>
    </cfRule>
  </conditionalFormatting>
  <conditionalFormatting sqref="D61:D69">
    <cfRule type="cellIs" dxfId="311" priority="62" operator="greaterThan">
      <formula>0</formula>
    </cfRule>
  </conditionalFormatting>
  <conditionalFormatting sqref="G44 G46">
    <cfRule type="expression" dxfId="310" priority="61">
      <formula>$AL$23+$AL$24&gt;0</formula>
    </cfRule>
  </conditionalFormatting>
  <conditionalFormatting sqref="G44 G46">
    <cfRule type="expression" dxfId="309" priority="60">
      <formula>$CP$58&gt;0</formula>
    </cfRule>
  </conditionalFormatting>
  <conditionalFormatting sqref="K20:K32">
    <cfRule type="expression" dxfId="308" priority="2571">
      <formula>$AZ$33&gt;1</formula>
    </cfRule>
    <cfRule type="expression" dxfId="307" priority="2572">
      <formula>$AZ$33=1</formula>
    </cfRule>
    <cfRule type="expression" dxfId="306" priority="2573">
      <formula>$AN$71&gt;0</formula>
    </cfRule>
  </conditionalFormatting>
  <conditionalFormatting sqref="L2:L3 N2:P3 L11 P11 P12 Q15:Q16">
    <cfRule type="expression" dxfId="305" priority="58">
      <formula>$AZ$16=1</formula>
    </cfRule>
  </conditionalFormatting>
  <conditionalFormatting sqref="Q34 Q36 L40 O43 O45:O47 S44:S46 S50 L62:L67">
    <cfRule type="expression" dxfId="304" priority="57">
      <formula>$AZ$16=1</formula>
    </cfRule>
  </conditionalFormatting>
  <conditionalFormatting sqref="G69">
    <cfRule type="expression" dxfId="303" priority="54">
      <formula>SUM($CG$39:$CG$59,$CG$61)&gt;0</formula>
    </cfRule>
  </conditionalFormatting>
  <conditionalFormatting sqref="G59:G68 G70:G73">
    <cfRule type="expression" dxfId="302" priority="55">
      <formula>SUM($CG$5:$CG$16)&gt;0</formula>
    </cfRule>
  </conditionalFormatting>
  <conditionalFormatting sqref="G59">
    <cfRule type="expression" dxfId="301" priority="53">
      <formula>SUM($CG$38:$CG$39,$CG$41:$CG$45,$CG$47:$CG$67,$CG$69)&gt;0</formula>
    </cfRule>
  </conditionalFormatting>
  <conditionalFormatting sqref="G60">
    <cfRule type="expression" dxfId="300" priority="52">
      <formula>$CG$46=1</formula>
    </cfRule>
  </conditionalFormatting>
  <conditionalFormatting sqref="M15:M16">
    <cfRule type="expression" dxfId="299" priority="49">
      <formula>$BD$17&gt;1</formula>
    </cfRule>
    <cfRule type="expression" dxfId="298" priority="50">
      <formula>$BD$17=1</formula>
    </cfRule>
    <cfRule type="expression" dxfId="297" priority="51">
      <formula>$AN$73&gt;0</formula>
    </cfRule>
  </conditionalFormatting>
  <conditionalFormatting sqref="P51 P53 P56">
    <cfRule type="expression" dxfId="296" priority="47">
      <formula>$AL$23+$AL$24&gt;0</formula>
    </cfRule>
  </conditionalFormatting>
  <conditionalFormatting sqref="J48:K48">
    <cfRule type="expression" dxfId="295" priority="46">
      <formula>$CP$64*$CP$66&gt;0</formula>
    </cfRule>
  </conditionalFormatting>
  <conditionalFormatting sqref="N49:O49">
    <cfRule type="expression" dxfId="294" priority="45">
      <formula>$CP$64*$CP$67&gt;0</formula>
    </cfRule>
  </conditionalFormatting>
  <conditionalFormatting sqref="J43:J45">
    <cfRule type="expression" dxfId="293" priority="2631">
      <formula>$AY$52&gt;1</formula>
    </cfRule>
    <cfRule type="expression" dxfId="292" priority="2632">
      <formula>$AY$52=1</formula>
    </cfRule>
    <cfRule type="expression" dxfId="291" priority="2633">
      <formula>$AN$75&gt;0</formula>
    </cfRule>
  </conditionalFormatting>
  <conditionalFormatting sqref="Q15">
    <cfRule type="expression" dxfId="290" priority="44">
      <formula>$AL$23+$AL$24&gt;0</formula>
    </cfRule>
  </conditionalFormatting>
  <conditionalFormatting sqref="Q18">
    <cfRule type="expression" dxfId="289" priority="43">
      <formula>$AL$3+$AL$6+$AL$10+$AL$15+$AL$20&gt;0</formula>
    </cfRule>
  </conditionalFormatting>
  <conditionalFormatting sqref="O10:O12">
    <cfRule type="expression" dxfId="288" priority="3044">
      <formula>$BD$13&gt;1</formula>
    </cfRule>
    <cfRule type="expression" dxfId="287" priority="3045">
      <formula>$BD$13=1</formula>
    </cfRule>
    <cfRule type="expression" dxfId="286" priority="3046">
      <formula>$AN$71&gt;0</formula>
    </cfRule>
  </conditionalFormatting>
  <conditionalFormatting sqref="M9:N9">
    <cfRule type="expression" dxfId="285" priority="42">
      <formula>$CJ$75&gt;0</formula>
    </cfRule>
  </conditionalFormatting>
  <conditionalFormatting sqref="L10">
    <cfRule type="expression" dxfId="284" priority="3065">
      <formula>$CJ$65=1</formula>
    </cfRule>
  </conditionalFormatting>
  <conditionalFormatting sqref="J5">
    <cfRule type="expression" dxfId="283" priority="41">
      <formula>$CJ$65&gt;0</formula>
    </cfRule>
  </conditionalFormatting>
  <conditionalFormatting sqref="N16">
    <cfRule type="expression" dxfId="282" priority="40">
      <formula>SUM($CG$6:$CG$16,$BC$7)&gt;0</formula>
    </cfRule>
  </conditionalFormatting>
  <conditionalFormatting sqref="L17:O17">
    <cfRule type="expression" dxfId="281" priority="39">
      <formula>$CG$89&gt;0</formula>
    </cfRule>
  </conditionalFormatting>
  <conditionalFormatting sqref="J18">
    <cfRule type="expression" dxfId="280" priority="38">
      <formula>SUM($AZ$21:$AZ$32)*$AZ$16&gt;0</formula>
    </cfRule>
  </conditionalFormatting>
  <conditionalFormatting sqref="F59:F73">
    <cfRule type="expression" dxfId="279" priority="3120">
      <formula>$AR$74&gt;1</formula>
    </cfRule>
    <cfRule type="expression" dxfId="278" priority="3121">
      <formula>$AR$74=1</formula>
    </cfRule>
    <cfRule type="expression" dxfId="277" priority="3122">
      <formula>$AN$71&gt;0</formula>
    </cfRule>
  </conditionalFormatting>
  <conditionalFormatting sqref="N43:N45">
    <cfRule type="expression" dxfId="276" priority="1791">
      <formula>$BD$51&gt;1</formula>
    </cfRule>
    <cfRule type="expression" dxfId="275" priority="1792">
      <formula>$BD$51=1</formula>
    </cfRule>
    <cfRule type="expression" dxfId="274" priority="1793">
      <formula>$AN$74&gt;0</formula>
    </cfRule>
  </conditionalFormatting>
  <conditionalFormatting sqref="R43:R44">
    <cfRule type="expression" dxfId="273" priority="1794">
      <formula>$BJ$51&gt;1</formula>
    </cfRule>
    <cfRule type="expression" dxfId="272" priority="1795">
      <formula>$BJ$51=1</formula>
    </cfRule>
    <cfRule type="expression" dxfId="271" priority="1796">
      <formula>$AN$74&gt;0</formula>
    </cfRule>
  </conditionalFormatting>
  <conditionalFormatting sqref="K50">
    <cfRule type="expression" dxfId="270" priority="1769">
      <formula>$AN$71=0</formula>
    </cfRule>
  </conditionalFormatting>
  <conditionalFormatting sqref="BF56 BF58">
    <cfRule type="expression" dxfId="269" priority="37">
      <formula>$AL$23+$AL$24&gt;0</formula>
    </cfRule>
  </conditionalFormatting>
  <conditionalFormatting sqref="O51:O53">
    <cfRule type="expression" dxfId="268" priority="1770">
      <formula>$BE$72&gt;1</formula>
    </cfRule>
    <cfRule type="expression" dxfId="267" priority="1771">
      <formula>$BE$72=1</formula>
    </cfRule>
    <cfRule type="expression" dxfId="266" priority="1772">
      <formula>$AN$71&gt;0</formula>
    </cfRule>
  </conditionalFormatting>
  <conditionalFormatting sqref="O55">
    <cfRule type="expression" dxfId="265" priority="1822">
      <formula>AN72+AN73=0</formula>
    </cfRule>
  </conditionalFormatting>
  <conditionalFormatting sqref="G30">
    <cfRule type="expression" dxfId="264" priority="36">
      <formula>$AL$23+$AL$24&gt;0</formula>
    </cfRule>
  </conditionalFormatting>
  <conditionalFormatting sqref="G30">
    <cfRule type="expression" dxfId="263" priority="35">
      <formula>$CP$58&gt;0</formula>
    </cfRule>
  </conditionalFormatting>
  <conditionalFormatting sqref="G31">
    <cfRule type="expression" dxfId="262" priority="34">
      <formula>$AL$23+$AL$24&gt;0</formula>
    </cfRule>
  </conditionalFormatting>
  <conditionalFormatting sqref="G31">
    <cfRule type="expression" dxfId="261" priority="33">
      <formula>$CP$58&gt;0</formula>
    </cfRule>
  </conditionalFormatting>
  <conditionalFormatting sqref="G34">
    <cfRule type="expression" dxfId="260" priority="32">
      <formula>$AL$23+$AL$24&gt;0</formula>
    </cfRule>
  </conditionalFormatting>
  <conditionalFormatting sqref="G34">
    <cfRule type="expression" dxfId="259" priority="31">
      <formula>$CP$58&gt;0</formula>
    </cfRule>
  </conditionalFormatting>
  <conditionalFormatting sqref="G44">
    <cfRule type="expression" dxfId="258" priority="29">
      <formula>$CP$27&gt;0</formula>
    </cfRule>
    <cfRule type="expression" dxfId="257" priority="30">
      <formula>$CP$20&gt;0</formula>
    </cfRule>
  </conditionalFormatting>
  <conditionalFormatting sqref="G44">
    <cfRule type="expression" dxfId="256" priority="28">
      <formula>$CP$58&gt;0</formula>
    </cfRule>
  </conditionalFormatting>
  <conditionalFormatting sqref="G45">
    <cfRule type="expression" dxfId="255" priority="26">
      <formula>$CP$27&gt;0</formula>
    </cfRule>
    <cfRule type="expression" dxfId="254" priority="27">
      <formula>$CP$20&gt;0</formula>
    </cfRule>
  </conditionalFormatting>
  <conditionalFormatting sqref="G46">
    <cfRule type="expression" dxfId="253" priority="24">
      <formula>$CP$27&gt;0</formula>
    </cfRule>
    <cfRule type="expression" dxfId="252" priority="25">
      <formula>$CP$20&gt;0</formula>
    </cfRule>
  </conditionalFormatting>
  <conditionalFormatting sqref="G46">
    <cfRule type="expression" dxfId="251" priority="23">
      <formula>$CP$58&gt;0</formula>
    </cfRule>
  </conditionalFormatting>
  <conditionalFormatting sqref="G47">
    <cfRule type="expression" dxfId="250" priority="22">
      <formula>$AL$23+$AL$24&gt;0</formula>
    </cfRule>
  </conditionalFormatting>
  <conditionalFormatting sqref="G47">
    <cfRule type="expression" dxfId="249" priority="21">
      <formula>$CP$58&gt;0</formula>
    </cfRule>
  </conditionalFormatting>
  <conditionalFormatting sqref="AS51:AS56">
    <cfRule type="expression" dxfId="248" priority="19">
      <formula>$CP$41&gt;0</formula>
    </cfRule>
    <cfRule type="expression" dxfId="247" priority="20">
      <formula>$CP$39&gt;0</formula>
    </cfRule>
  </conditionalFormatting>
  <conditionalFormatting sqref="AS44 AS46">
    <cfRule type="expression" dxfId="246" priority="18">
      <formula>$AL$23+$AL$24&gt;0</formula>
    </cfRule>
  </conditionalFormatting>
  <conditionalFormatting sqref="AS44 AS46">
    <cfRule type="expression" dxfId="245" priority="17">
      <formula>$CP$58&gt;0</formula>
    </cfRule>
  </conditionalFormatting>
  <conditionalFormatting sqref="AS30">
    <cfRule type="expression" dxfId="244" priority="16">
      <formula>$AL$23+$AL$24&gt;0</formula>
    </cfRule>
  </conditionalFormatting>
  <conditionalFormatting sqref="AS30">
    <cfRule type="expression" dxfId="243" priority="15">
      <formula>$CP$58&gt;0</formula>
    </cfRule>
  </conditionalFormatting>
  <conditionalFormatting sqref="AS31">
    <cfRule type="expression" dxfId="242" priority="14">
      <formula>$AL$23+$AL$24&gt;0</formula>
    </cfRule>
  </conditionalFormatting>
  <conditionalFormatting sqref="AS31">
    <cfRule type="expression" dxfId="241" priority="13">
      <formula>$CP$58&gt;0</formula>
    </cfRule>
  </conditionalFormatting>
  <conditionalFormatting sqref="AS34">
    <cfRule type="expression" dxfId="240" priority="12">
      <formula>$AL$23+$AL$24&gt;0</formula>
    </cfRule>
  </conditionalFormatting>
  <conditionalFormatting sqref="AS34">
    <cfRule type="expression" dxfId="239" priority="11">
      <formula>$CP$58&gt;0</formula>
    </cfRule>
  </conditionalFormatting>
  <conditionalFormatting sqref="AS44">
    <cfRule type="expression" dxfId="238" priority="9">
      <formula>$CP$27&gt;0</formula>
    </cfRule>
    <cfRule type="expression" dxfId="237" priority="10">
      <formula>$CP$20&gt;0</formula>
    </cfRule>
  </conditionalFormatting>
  <conditionalFormatting sqref="AS44">
    <cfRule type="expression" dxfId="236" priority="8">
      <formula>$CP$58&gt;0</formula>
    </cfRule>
  </conditionalFormatting>
  <conditionalFormatting sqref="AS45">
    <cfRule type="expression" dxfId="235" priority="6">
      <formula>$CP$27&gt;0</formula>
    </cfRule>
    <cfRule type="expression" dxfId="234" priority="7">
      <formula>$CP$20&gt;0</formula>
    </cfRule>
  </conditionalFormatting>
  <conditionalFormatting sqref="AS46">
    <cfRule type="expression" dxfId="233" priority="4">
      <formula>$CP$27&gt;0</formula>
    </cfRule>
    <cfRule type="expression" dxfId="232" priority="5">
      <formula>$CP$20&gt;0</formula>
    </cfRule>
  </conditionalFormatting>
  <conditionalFormatting sqref="AS46">
    <cfRule type="expression" dxfId="231" priority="3">
      <formula>$CP$58&gt;0</formula>
    </cfRule>
  </conditionalFormatting>
  <conditionalFormatting sqref="AS47">
    <cfRule type="expression" dxfId="230" priority="2">
      <formula>$AL$23+$AL$24&gt;0</formula>
    </cfRule>
  </conditionalFormatting>
  <conditionalFormatting sqref="AS47">
    <cfRule type="expression" dxfId="229" priority="1">
      <formula>$CP$58&gt;0</formula>
    </cfRule>
  </conditionalFormatting>
  <conditionalFormatting sqref="H3:H26">
    <cfRule type="expression" dxfId="228" priority="2391">
      <formula>$AW$42&gt;1</formula>
    </cfRule>
    <cfRule type="expression" dxfId="227" priority="2392">
      <formula>$AW$42=1</formula>
    </cfRule>
    <cfRule type="expression" dxfId="226" priority="2393">
      <formula>$AR$65+$AR$66+$AR$68+$AR$72+$AR$73&gt;0</formula>
    </cfRule>
  </conditionalFormatting>
  <pageMargins left="0.45" right="0.45" top="0.5" bottom="0.5" header="0.3" footer="0.3"/>
  <pageSetup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BU622"/>
  <sheetViews>
    <sheetView zoomScaleNormal="100" workbookViewId="0">
      <selection activeCell="G21" sqref="G21"/>
    </sheetView>
  </sheetViews>
  <sheetFormatPr defaultRowHeight="14.4" x14ac:dyDescent="0.3"/>
  <cols>
    <col min="1" max="1" width="3.44140625" customWidth="1"/>
    <col min="2" max="2" width="6.109375" customWidth="1"/>
    <col min="4" max="4" width="9.88671875" customWidth="1"/>
    <col min="6" max="6" width="26.109375" customWidth="1"/>
    <col min="7" max="7" width="11.88671875" style="193" customWidth="1"/>
    <col min="8" max="8" width="20" customWidth="1"/>
    <col min="9" max="10" width="27.5546875" customWidth="1"/>
    <col min="14" max="19" width="9.109375" customWidth="1"/>
    <col min="20" max="21" width="9.109375" style="193" customWidth="1"/>
    <col min="22" max="28" width="9.109375" customWidth="1"/>
    <col min="29" max="29" width="20.109375" customWidth="1"/>
    <col min="30" max="47" width="9.109375" customWidth="1"/>
    <col min="48" max="48" width="24.44140625" customWidth="1"/>
    <col min="49" max="50" width="9.109375" customWidth="1"/>
    <col min="51" max="51" width="15.109375" customWidth="1"/>
    <col min="52" max="55" width="9.109375" customWidth="1"/>
    <col min="56" max="56" width="17" customWidth="1"/>
    <col min="57" max="57" width="22.88671875" customWidth="1"/>
    <col min="58" max="58" width="36.6640625" customWidth="1"/>
    <col min="59" max="59" width="9.109375" customWidth="1"/>
    <col min="60" max="60" width="10.44140625" style="204" customWidth="1"/>
    <col min="61" max="61" width="9.109375" style="204" customWidth="1"/>
    <col min="62" max="62" width="9.109375" customWidth="1"/>
    <col min="63" max="63" width="9.109375" style="204" customWidth="1"/>
    <col min="64" max="64" width="9.109375" customWidth="1"/>
    <col min="65" max="65" width="12.5546875" customWidth="1"/>
    <col min="66" max="69" width="9.109375" customWidth="1"/>
  </cols>
  <sheetData>
    <row r="1" spans="2:68" ht="18" x14ac:dyDescent="0.35">
      <c r="B1" s="67" t="s">
        <v>689</v>
      </c>
      <c r="N1" s="152"/>
      <c r="O1" s="152"/>
      <c r="P1" s="152"/>
      <c r="Q1" s="152"/>
      <c r="R1" s="152"/>
      <c r="S1" s="152"/>
      <c r="T1" s="31"/>
      <c r="U1" s="31"/>
      <c r="V1" s="152"/>
      <c r="W1" s="152"/>
      <c r="X1" s="152"/>
      <c r="Y1" s="152"/>
      <c r="Z1" s="152"/>
      <c r="AA1" s="152"/>
      <c r="AB1" s="152"/>
      <c r="AC1" s="191"/>
      <c r="AD1" s="191"/>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31"/>
      <c r="BI1" s="31"/>
      <c r="BJ1" s="152"/>
      <c r="BK1" s="31"/>
      <c r="BL1" s="152"/>
      <c r="BM1" s="152"/>
      <c r="BN1" s="152"/>
      <c r="BO1" s="152"/>
      <c r="BP1" s="152"/>
    </row>
    <row r="2" spans="2:68" x14ac:dyDescent="0.3">
      <c r="C2" s="3" t="s">
        <v>713</v>
      </c>
    </row>
    <row r="4" spans="2:68" x14ac:dyDescent="0.3">
      <c r="B4" s="193"/>
      <c r="C4" s="195" t="s">
        <v>30</v>
      </c>
      <c r="D4" s="195" t="s">
        <v>2</v>
      </c>
      <c r="E4" s="194" t="s">
        <v>698</v>
      </c>
      <c r="P4" t="s">
        <v>511</v>
      </c>
      <c r="T4" s="193" t="s">
        <v>712</v>
      </c>
      <c r="W4" s="195" t="s">
        <v>30</v>
      </c>
      <c r="X4" s="195" t="s">
        <v>2</v>
      </c>
      <c r="Y4" s="70" t="s">
        <v>703</v>
      </c>
      <c r="Z4" s="70" t="s">
        <v>704</v>
      </c>
      <c r="AI4" t="s">
        <v>708</v>
      </c>
      <c r="AY4" t="s">
        <v>750</v>
      </c>
    </row>
    <row r="5" spans="2:68" x14ac:dyDescent="0.3">
      <c r="B5" s="193"/>
      <c r="C5" s="1" t="s">
        <v>663</v>
      </c>
      <c r="D5" s="1"/>
      <c r="E5" t="s">
        <v>699</v>
      </c>
      <c r="F5" s="204" t="s">
        <v>511</v>
      </c>
      <c r="G5" s="210" t="s">
        <v>706</v>
      </c>
      <c r="H5" s="207" t="s">
        <v>721</v>
      </c>
      <c r="O5" t="s">
        <v>707</v>
      </c>
      <c r="P5" s="193" t="s">
        <v>6</v>
      </c>
      <c r="Q5" s="193" t="s">
        <v>22</v>
      </c>
      <c r="R5" t="s">
        <v>18</v>
      </c>
      <c r="S5" t="s">
        <v>714</v>
      </c>
      <c r="T5" s="193" t="s">
        <v>711</v>
      </c>
      <c r="U5" s="193" t="s">
        <v>711</v>
      </c>
      <c r="V5" s="193" t="s">
        <v>710</v>
      </c>
      <c r="W5" s="1" t="s">
        <v>663</v>
      </c>
      <c r="X5" s="1"/>
      <c r="Y5" s="70" t="s">
        <v>699</v>
      </c>
      <c r="Z5" s="70" t="s">
        <v>241</v>
      </c>
      <c r="AB5" s="193" t="s">
        <v>706</v>
      </c>
      <c r="AD5" t="s">
        <v>700</v>
      </c>
      <c r="AF5" t="s">
        <v>511</v>
      </c>
      <c r="AG5" s="204" t="s">
        <v>746</v>
      </c>
      <c r="AI5" t="s">
        <v>709</v>
      </c>
      <c r="AY5" t="s">
        <v>879</v>
      </c>
      <c r="AZ5" t="s">
        <v>880</v>
      </c>
      <c r="BA5" t="s">
        <v>881</v>
      </c>
    </row>
    <row r="6" spans="2:68" x14ac:dyDescent="0.3">
      <c r="B6" s="211"/>
      <c r="C6" s="208" t="s">
        <v>664</v>
      </c>
      <c r="D6" t="s">
        <v>379</v>
      </c>
      <c r="E6" s="199">
        <f>IF(U6=1,Z6,Y6)</f>
        <v>695</v>
      </c>
      <c r="F6" s="203" t="str">
        <f>IF(BA6=TRUE,CONCATENATE(O6,P6,Q6,R6,S6," Cstm"),CONCATENATE("Standard Item ",AZ6))</f>
        <v>LM410D Cstm</v>
      </c>
      <c r="G6" s="211"/>
      <c r="H6" s="1" t="s">
        <v>150</v>
      </c>
      <c r="O6" s="70" t="str">
        <f>IF($AB$16=1,"LM410","LM400")</f>
        <v>LM410</v>
      </c>
      <c r="P6" s="193" t="str">
        <f>IF($AB$11=1,"T","")</f>
        <v/>
      </c>
      <c r="Q6" s="193" t="str">
        <f>IF($AB$26=1,"D","")</f>
        <v>D</v>
      </c>
      <c r="R6" s="193" t="str">
        <f>IF($AB$15=1,"WM","")</f>
        <v/>
      </c>
      <c r="S6" s="194" t="str">
        <f>IF($AB$7=1,"B","")</f>
        <v/>
      </c>
      <c r="T6" s="193">
        <f>IF(ISNUMBER(B6)=TRUE,B6,1)</f>
        <v>1</v>
      </c>
      <c r="U6" s="193">
        <f>IF(B6="",0,1)</f>
        <v>0</v>
      </c>
      <c r="V6" s="9">
        <f>IF(B6="",0,T6)</f>
        <v>0</v>
      </c>
      <c r="W6" s="196" t="s">
        <v>664</v>
      </c>
      <c r="X6" t="s">
        <v>379</v>
      </c>
      <c r="Y6" s="197">
        <v>695</v>
      </c>
      <c r="Z6" s="197">
        <f>IF(U6=1,V6*(Y6+$AE$36),0)</f>
        <v>0</v>
      </c>
      <c r="AB6" s="9">
        <f>IF(G6="",0,1)</f>
        <v>0</v>
      </c>
      <c r="AC6" t="s">
        <v>150</v>
      </c>
      <c r="AD6">
        <v>0</v>
      </c>
      <c r="AE6" s="197">
        <f>AB6*AD6</f>
        <v>0</v>
      </c>
      <c r="AG6" s="204" t="s">
        <v>544</v>
      </c>
      <c r="AM6" s="9">
        <f>+$V$6</f>
        <v>0</v>
      </c>
      <c r="AN6" s="196" t="s">
        <v>664</v>
      </c>
      <c r="AO6" t="s">
        <v>379</v>
      </c>
      <c r="AQ6" s="9">
        <f>+$V$6</f>
        <v>0</v>
      </c>
      <c r="AR6" s="196" t="s">
        <v>664</v>
      </c>
      <c r="AS6" t="s">
        <v>379</v>
      </c>
      <c r="AU6" t="s">
        <v>734</v>
      </c>
      <c r="AY6" t="str">
        <f>IF(U6=1,CONCATENATE(W6,$AF$39,$AG$39,$AH$39,$AI$39,$AJ$39,$AK$39,$AL$39),"")</f>
        <v/>
      </c>
      <c r="AZ6" t="e">
        <f t="shared" ref="AZ6:AZ30" si="0">VLOOKUP(AY6,$BD$10:$BE$96,2,FALSE)</f>
        <v>#N/A</v>
      </c>
      <c r="BA6" t="b">
        <f>ISERROR(AZ6)</f>
        <v>1</v>
      </c>
    </row>
    <row r="7" spans="2:68" x14ac:dyDescent="0.3">
      <c r="B7" s="211"/>
      <c r="C7" s="208" t="s">
        <v>665</v>
      </c>
      <c r="D7" t="s">
        <v>574</v>
      </c>
      <c r="E7" s="199">
        <f>IF(U7=1,Z7,Y7)</f>
        <v>745</v>
      </c>
      <c r="F7" s="203" t="str">
        <f>IF(BA7=TRUE,CONCATENATE(O7,P7,Q7,R7,S7," Cstm"),CONCATENATE("Standard Item ",AZ7))</f>
        <v>LM411D Cstm</v>
      </c>
      <c r="G7" s="211"/>
      <c r="H7" t="s">
        <v>151</v>
      </c>
      <c r="O7" s="70" t="str">
        <f>IF($AB$16=1,"LM411","LM402")</f>
        <v>LM411</v>
      </c>
      <c r="P7" s="193" t="str">
        <f>IF($AB$11=1,"T","")</f>
        <v/>
      </c>
      <c r="Q7" s="193" t="str">
        <f>IF($AB$26=1,"D","")</f>
        <v>D</v>
      </c>
      <c r="R7" s="193" t="str">
        <f>IF($AB$15=1,"WM","")</f>
        <v/>
      </c>
      <c r="S7" s="194" t="str">
        <f>IF($AB$7=1,"B","")</f>
        <v/>
      </c>
      <c r="T7" s="193">
        <f>IF(ISNUMBER(B7)=TRUE,B7,1)</f>
        <v>1</v>
      </c>
      <c r="U7" s="193">
        <f>IF(B7="",0,1)</f>
        <v>0</v>
      </c>
      <c r="V7" s="9">
        <f>IF(B7="",0,T7)</f>
        <v>0</v>
      </c>
      <c r="W7" s="196" t="s">
        <v>665</v>
      </c>
      <c r="X7" t="s">
        <v>574</v>
      </c>
      <c r="Y7" s="197">
        <v>745</v>
      </c>
      <c r="Z7" s="197">
        <f>IF(U7=1,V7*(Y7+$AE$36),0)</f>
        <v>0</v>
      </c>
      <c r="AB7" s="9">
        <f>IF(G7="",0,1)</f>
        <v>0</v>
      </c>
      <c r="AC7" t="s">
        <v>151</v>
      </c>
      <c r="AD7">
        <v>60</v>
      </c>
      <c r="AE7" s="197">
        <f>AB7*AD7</f>
        <v>0</v>
      </c>
      <c r="AG7" s="204" t="s">
        <v>565</v>
      </c>
      <c r="AI7" t="s">
        <v>715</v>
      </c>
      <c r="AM7" s="9">
        <f>+$V$7</f>
        <v>0</v>
      </c>
      <c r="AN7" s="196" t="s">
        <v>665</v>
      </c>
      <c r="AO7" t="s">
        <v>574</v>
      </c>
      <c r="AQ7" s="9">
        <f>+$V$9</f>
        <v>0</v>
      </c>
      <c r="AR7" s="196" t="s">
        <v>667</v>
      </c>
      <c r="AS7" t="s">
        <v>379</v>
      </c>
      <c r="AU7">
        <f>IF(AB22*(AB14+AB15+AB17)&gt;0,1,0)</f>
        <v>0</v>
      </c>
      <c r="AV7" t="s">
        <v>735</v>
      </c>
      <c r="AY7" t="str">
        <f>IF(U7=1,CONCATENATE(W7,$AF$39,$AG$39,$AH$39,$AI$39,$AJ$39,$AK$39,$AL$39),"")</f>
        <v/>
      </c>
      <c r="AZ7" t="e">
        <f t="shared" si="0"/>
        <v>#N/A</v>
      </c>
      <c r="BA7" t="b">
        <f t="shared" ref="BA7:BA30" si="1">ISERROR(AZ7)</f>
        <v>1</v>
      </c>
    </row>
    <row r="8" spans="2:68" x14ac:dyDescent="0.3">
      <c r="B8" s="193"/>
      <c r="C8" s="1" t="s">
        <v>666</v>
      </c>
      <c r="E8" s="200"/>
      <c r="F8" s="203"/>
      <c r="P8" s="193"/>
      <c r="W8" s="1" t="s">
        <v>666</v>
      </c>
      <c r="Y8" s="198"/>
      <c r="Z8" s="198"/>
      <c r="AB8">
        <f>SUM(AB6:AB7)</f>
        <v>0</v>
      </c>
      <c r="AG8" s="204"/>
      <c r="AI8" s="9">
        <f>+V15</f>
        <v>0</v>
      </c>
      <c r="AJ8" s="196" t="s">
        <v>673</v>
      </c>
      <c r="AM8" s="9">
        <f>+$V$9</f>
        <v>0</v>
      </c>
      <c r="AN8" s="196" t="s">
        <v>667</v>
      </c>
      <c r="AO8" t="s">
        <v>379</v>
      </c>
      <c r="AQ8" s="9">
        <f>+$V$12</f>
        <v>0</v>
      </c>
      <c r="AR8" s="196" t="s">
        <v>670</v>
      </c>
      <c r="AS8" t="s">
        <v>379</v>
      </c>
      <c r="AU8">
        <f>+AB16*(AB20+AB21)</f>
        <v>0</v>
      </c>
      <c r="AV8" t="s">
        <v>736</v>
      </c>
      <c r="AZ8" t="e">
        <f t="shared" si="0"/>
        <v>#N/A</v>
      </c>
      <c r="BA8" t="b">
        <f t="shared" si="1"/>
        <v>1</v>
      </c>
    </row>
    <row r="9" spans="2:68" x14ac:dyDescent="0.3">
      <c r="B9" s="211"/>
      <c r="C9" s="208" t="s">
        <v>667</v>
      </c>
      <c r="D9" t="s">
        <v>379</v>
      </c>
      <c r="E9" s="199">
        <f>IF(U9=1,Z9,Y9)</f>
        <v>745</v>
      </c>
      <c r="F9" s="203" t="str">
        <f>IF(BA9=TRUE,CONCATENATE(O9,P9,Q9,R9,S9," Cstm"),CONCATENATE("Standard Item ",AZ9))</f>
        <v>LM410KD Cstm</v>
      </c>
      <c r="G9" s="193" t="s">
        <v>6</v>
      </c>
      <c r="O9" s="70" t="str">
        <f>IF($AB$16=1,"LM410K","LM400K")</f>
        <v>LM410K</v>
      </c>
      <c r="P9" s="193" t="str">
        <f>IF($AB$11=1,"T","")</f>
        <v/>
      </c>
      <c r="Q9" s="193" t="str">
        <f>IF($AB$26=1,"D","")</f>
        <v>D</v>
      </c>
      <c r="R9" s="193" t="str">
        <f>IF($AB$15=1,"WM","")</f>
        <v/>
      </c>
      <c r="S9" s="194" t="str">
        <f>IF($AB$7=1,"B","")</f>
        <v/>
      </c>
      <c r="T9" s="193">
        <f>IF(ISNUMBER(B9)=TRUE,B9,1)</f>
        <v>1</v>
      </c>
      <c r="U9" s="193">
        <f>IF(B9="",0,1)</f>
        <v>0</v>
      </c>
      <c r="V9" s="9">
        <f>IF(B9="",0,T9)</f>
        <v>0</v>
      </c>
      <c r="W9" s="196" t="s">
        <v>667</v>
      </c>
      <c r="X9" t="s">
        <v>379</v>
      </c>
      <c r="Y9" s="197">
        <v>745</v>
      </c>
      <c r="Z9" s="197">
        <f>IF(U9=1,V9*(Y9+$AE$36),0)</f>
        <v>0</v>
      </c>
      <c r="AB9" t="s">
        <v>6</v>
      </c>
      <c r="AD9" t="s">
        <v>700</v>
      </c>
      <c r="AG9" s="204"/>
      <c r="AI9" s="9">
        <f>+V23</f>
        <v>0</v>
      </c>
      <c r="AJ9" s="196" t="s">
        <v>681</v>
      </c>
      <c r="AM9" s="9">
        <f>+$V$10</f>
        <v>0</v>
      </c>
      <c r="AN9" s="196" t="s">
        <v>668</v>
      </c>
      <c r="AO9" t="s">
        <v>574</v>
      </c>
      <c r="AQ9" s="9">
        <f>+$V$16</f>
        <v>1</v>
      </c>
      <c r="AR9" s="196" t="s">
        <v>674</v>
      </c>
      <c r="AS9" t="s">
        <v>379</v>
      </c>
      <c r="AU9">
        <f>SUM(AU7:AU8)</f>
        <v>0</v>
      </c>
      <c r="AV9" t="s">
        <v>637</v>
      </c>
      <c r="AY9" t="str">
        <f>IF(U9=1,CONCATENATE(W9,$AF$39,$AG$39,$AH$39,$AI$39,$AJ$39,$AK$39,$AL$39),"")</f>
        <v/>
      </c>
      <c r="AZ9" t="e">
        <f t="shared" si="0"/>
        <v>#N/A</v>
      </c>
      <c r="BA9" t="b">
        <f t="shared" si="1"/>
        <v>1</v>
      </c>
      <c r="BD9" t="s">
        <v>876</v>
      </c>
      <c r="BE9" t="s">
        <v>752</v>
      </c>
      <c r="BF9" t="s">
        <v>661</v>
      </c>
      <c r="BG9" s="204" t="s">
        <v>707</v>
      </c>
      <c r="BH9" s="204" t="s">
        <v>706</v>
      </c>
      <c r="BI9" s="204" t="s">
        <v>6</v>
      </c>
      <c r="BJ9" s="204" t="s">
        <v>18</v>
      </c>
      <c r="BK9" s="204" t="s">
        <v>19</v>
      </c>
      <c r="BL9" s="204" t="s">
        <v>22</v>
      </c>
      <c r="BM9" s="204" t="s">
        <v>17</v>
      </c>
      <c r="BN9" s="204" t="s">
        <v>749</v>
      </c>
      <c r="BO9" s="204"/>
    </row>
    <row r="10" spans="2:68" x14ac:dyDescent="0.3">
      <c r="B10" s="211"/>
      <c r="C10" s="208" t="s">
        <v>668</v>
      </c>
      <c r="D10" t="s">
        <v>574</v>
      </c>
      <c r="E10" s="199">
        <f>IF(U10=1,Z10,Y10)</f>
        <v>795</v>
      </c>
      <c r="F10" s="203" t="str">
        <f>IF(BA10=TRUE,CONCATENATE(O10,P10,Q10,R10,S10," Cstm"),CONCATENATE("Standard Item ",AZ10))</f>
        <v>LM411KD Cstm</v>
      </c>
      <c r="G10" s="211"/>
      <c r="H10" s="1" t="str">
        <f>VLOOKUP(1,AM31:AN34,2,FALSE)</f>
        <v>Imperial</v>
      </c>
      <c r="O10" s="70" t="str">
        <f>IF($AB$16=1,"LM411K","LM402K")</f>
        <v>LM411K</v>
      </c>
      <c r="P10" s="193" t="str">
        <f>IF($AB$11=1,"T","")</f>
        <v/>
      </c>
      <c r="Q10" s="193" t="str">
        <f>IF($AB$26=1,"D","")</f>
        <v>D</v>
      </c>
      <c r="R10" s="193" t="str">
        <f>IF($AB$15=1,"WM","")</f>
        <v/>
      </c>
      <c r="S10" s="194" t="str">
        <f>IF($AB$7=1,"B","")</f>
        <v/>
      </c>
      <c r="T10" s="193">
        <f>IF(ISNUMBER(B10)=TRUE,B10,1)</f>
        <v>1</v>
      </c>
      <c r="U10" s="193">
        <f>IF(B10="",0,1)</f>
        <v>0</v>
      </c>
      <c r="V10" s="9">
        <f>IF(B10="",0,T10)</f>
        <v>0</v>
      </c>
      <c r="W10" s="196" t="s">
        <v>668</v>
      </c>
      <c r="X10" t="s">
        <v>574</v>
      </c>
      <c r="Y10" s="197">
        <v>795</v>
      </c>
      <c r="Z10" s="197">
        <f>IF(U10=1,V10*(Y10+$AE$36),0)</f>
        <v>0</v>
      </c>
      <c r="AB10" s="9">
        <f>IF(G10="",0,1)</f>
        <v>0</v>
      </c>
      <c r="AC10" t="s">
        <v>690</v>
      </c>
      <c r="AD10">
        <v>0</v>
      </c>
      <c r="AE10" s="197">
        <f>AB10*AD10</f>
        <v>0</v>
      </c>
      <c r="AG10" s="204" t="s">
        <v>747</v>
      </c>
      <c r="AI10" s="9">
        <f>+V24</f>
        <v>0</v>
      </c>
      <c r="AJ10" s="196" t="s">
        <v>682</v>
      </c>
      <c r="AM10" s="9">
        <f>+$V$12</f>
        <v>0</v>
      </c>
      <c r="AN10" s="196" t="s">
        <v>670</v>
      </c>
      <c r="AO10" t="s">
        <v>379</v>
      </c>
      <c r="AQ10" s="9">
        <f>+$V$20</f>
        <v>0</v>
      </c>
      <c r="AR10" s="196" t="s">
        <v>678</v>
      </c>
      <c r="AS10" t="s">
        <v>379</v>
      </c>
      <c r="AY10" t="str">
        <f>IF(U10=1,CONCATENATE(W10,$AF$39,$AG$39,$AH$39,$AI$39,$AJ$39,$AK$39,$AL$39),"")</f>
        <v/>
      </c>
      <c r="AZ10" t="e">
        <f t="shared" si="0"/>
        <v>#N/A</v>
      </c>
      <c r="BA10" t="b">
        <f t="shared" si="1"/>
        <v>1</v>
      </c>
      <c r="BD10" t="str">
        <f t="shared" ref="BD10:BD16" si="2">CONCATENATE(BG10,BH10,BI10,BJ10,BK10,BL10,BM10,BN10)</f>
        <v>LB400BCI533N3</v>
      </c>
      <c r="BE10" t="s">
        <v>670</v>
      </c>
      <c r="BF10" t="s">
        <v>753</v>
      </c>
      <c r="BG10" t="s">
        <v>670</v>
      </c>
      <c r="BH10" s="204" t="s">
        <v>544</v>
      </c>
      <c r="BI10" s="204" t="s">
        <v>747</v>
      </c>
      <c r="BJ10" s="204">
        <v>5</v>
      </c>
      <c r="BK10" s="204">
        <v>3</v>
      </c>
      <c r="BL10" s="204">
        <v>3</v>
      </c>
      <c r="BM10" s="204" t="s">
        <v>748</v>
      </c>
      <c r="BN10" s="204">
        <v>3</v>
      </c>
    </row>
    <row r="11" spans="2:68" x14ac:dyDescent="0.3">
      <c r="B11" s="193"/>
      <c r="C11" s="1" t="s">
        <v>669</v>
      </c>
      <c r="E11" s="200"/>
      <c r="F11" s="203"/>
      <c r="G11" s="211"/>
      <c r="H11" t="s">
        <v>148</v>
      </c>
      <c r="P11" s="193"/>
      <c r="W11" s="1" t="s">
        <v>669</v>
      </c>
      <c r="Y11" s="198"/>
      <c r="Z11" s="198"/>
      <c r="AB11" s="9">
        <f>IF(G11="",0,1)</f>
        <v>0</v>
      </c>
      <c r="AC11" t="s">
        <v>148</v>
      </c>
      <c r="AD11">
        <v>45</v>
      </c>
      <c r="AE11" s="197">
        <f>AB11*AD11</f>
        <v>0</v>
      </c>
      <c r="AF11" t="s">
        <v>554</v>
      </c>
      <c r="AG11" s="204" t="s">
        <v>554</v>
      </c>
      <c r="AI11" s="9">
        <f>+V19</f>
        <v>0</v>
      </c>
      <c r="AJ11" s="196" t="s">
        <v>677</v>
      </c>
      <c r="AM11" s="9">
        <f>+$V$13</f>
        <v>0</v>
      </c>
      <c r="AN11" s="196" t="s">
        <v>671</v>
      </c>
      <c r="AO11" t="s">
        <v>574</v>
      </c>
      <c r="AQ11" s="9">
        <f>+$V$23</f>
        <v>0</v>
      </c>
      <c r="AR11" s="196" t="s">
        <v>681</v>
      </c>
      <c r="AS11" t="s">
        <v>379</v>
      </c>
      <c r="AU11" t="s">
        <v>739</v>
      </c>
      <c r="AZ11" t="e">
        <f t="shared" si="0"/>
        <v>#N/A</v>
      </c>
      <c r="BA11" t="b">
        <f t="shared" si="1"/>
        <v>1</v>
      </c>
      <c r="BD11" t="str">
        <f t="shared" si="2"/>
        <v>LB400BBT63DN3</v>
      </c>
      <c r="BE11" t="s">
        <v>754</v>
      </c>
      <c r="BF11" t="s">
        <v>755</v>
      </c>
      <c r="BG11" t="s">
        <v>670</v>
      </c>
      <c r="BH11" s="204" t="s">
        <v>565</v>
      </c>
      <c r="BI11" s="204" t="s">
        <v>554</v>
      </c>
      <c r="BJ11" s="204">
        <v>6</v>
      </c>
      <c r="BK11" s="204">
        <v>3</v>
      </c>
      <c r="BL11" s="204" t="s">
        <v>705</v>
      </c>
      <c r="BM11" s="204" t="s">
        <v>748</v>
      </c>
      <c r="BN11" s="204">
        <v>3</v>
      </c>
    </row>
    <row r="12" spans="2:68" x14ac:dyDescent="0.3">
      <c r="B12" s="211"/>
      <c r="C12" s="208" t="s">
        <v>670</v>
      </c>
      <c r="D12" t="s">
        <v>379</v>
      </c>
      <c r="E12" s="199">
        <f>IF(U12=1,Z12,Y12)</f>
        <v>865</v>
      </c>
      <c r="F12" s="203" t="str">
        <f>IF(BA12=FALSE,CONCATENATE("Standard Item ",AZ12),IF($AB$7=1,CONCATENATE(O12,S12,P12,R12," Cstm"),CONCATENATE(O12,P12,Q12,R12," Cstm")))</f>
        <v>LB400BD Cstm</v>
      </c>
      <c r="O12" t="s">
        <v>670</v>
      </c>
      <c r="P12" s="193" t="str">
        <f>IF($AB$11=1,"T","")</f>
        <v/>
      </c>
      <c r="Q12" s="193" t="str">
        <f>IF($AB$26=1,"D","")</f>
        <v>D</v>
      </c>
      <c r="R12" s="193" t="str">
        <f>IF($AB$15=1,"WM","")</f>
        <v/>
      </c>
      <c r="S12" s="194" t="str">
        <f>IF($AB$7=1,"B","")</f>
        <v/>
      </c>
      <c r="T12" s="193">
        <f>IF(ISNUMBER(B12)=TRUE,B12,1)</f>
        <v>1</v>
      </c>
      <c r="U12" s="193">
        <f>IF(B12="",0,1)</f>
        <v>0</v>
      </c>
      <c r="V12" s="9">
        <f>IF(B12="",0,T12)</f>
        <v>0</v>
      </c>
      <c r="W12" s="196" t="s">
        <v>670</v>
      </c>
      <c r="X12" t="s">
        <v>379</v>
      </c>
      <c r="Y12" s="197">
        <v>865</v>
      </c>
      <c r="Z12" s="197">
        <f>IF(U12=1,V12*(Y12+$AE$36),0)</f>
        <v>0</v>
      </c>
      <c r="AB12">
        <f>SUM(AB10:AB11)</f>
        <v>0</v>
      </c>
      <c r="AG12" s="204"/>
      <c r="AI12" s="9">
        <f>+V26</f>
        <v>0</v>
      </c>
      <c r="AJ12" s="196" t="s">
        <v>684</v>
      </c>
      <c r="AM12" s="9">
        <f>+$V$16</f>
        <v>1</v>
      </c>
      <c r="AN12" s="196" t="s">
        <v>674</v>
      </c>
      <c r="AO12" t="s">
        <v>379</v>
      </c>
      <c r="AQ12" s="9">
        <f>+$V$26</f>
        <v>0</v>
      </c>
      <c r="AR12" s="196" t="s">
        <v>684</v>
      </c>
      <c r="AS12" t="s">
        <v>379</v>
      </c>
      <c r="AU12">
        <f>+U15+U19</f>
        <v>0</v>
      </c>
      <c r="AV12" t="s">
        <v>740</v>
      </c>
      <c r="AY12" t="str">
        <f>IF(U12=1,CONCATENATE(W12,$AF$39,$AG$39,$AH$39,$AI$39,$AJ$39,$AK$39,$AL$39),"")</f>
        <v/>
      </c>
      <c r="AZ12" t="e">
        <f t="shared" si="0"/>
        <v>#N/A</v>
      </c>
      <c r="BA12" t="b">
        <f t="shared" si="1"/>
        <v>1</v>
      </c>
      <c r="BD12" t="str">
        <f t="shared" si="2"/>
        <v>LB400BCT533N3</v>
      </c>
      <c r="BE12" t="s">
        <v>756</v>
      </c>
      <c r="BF12" t="s">
        <v>757</v>
      </c>
      <c r="BG12" t="s">
        <v>670</v>
      </c>
      <c r="BH12" s="204" t="s">
        <v>544</v>
      </c>
      <c r="BI12" s="204" t="s">
        <v>554</v>
      </c>
      <c r="BJ12" s="204">
        <v>5</v>
      </c>
      <c r="BK12" s="204">
        <v>3</v>
      </c>
      <c r="BL12" s="204">
        <v>3</v>
      </c>
      <c r="BM12" s="204" t="s">
        <v>748</v>
      </c>
      <c r="BN12" s="204">
        <v>3</v>
      </c>
    </row>
    <row r="13" spans="2:68" x14ac:dyDescent="0.3">
      <c r="B13" s="211"/>
      <c r="C13" s="208" t="s">
        <v>671</v>
      </c>
      <c r="D13" t="s">
        <v>574</v>
      </c>
      <c r="E13" s="199">
        <f>IF(U13=1,Z13,Y13)</f>
        <v>900</v>
      </c>
      <c r="F13" s="203" t="str">
        <f>IF(BA13=FALSE,CONCATENATE("Standard Item ",AZ13),IF($AB$7=1,CONCATENATE(O13,S13,P13,R13," Cstm"),CONCATENATE(O13,P13,Q13,R13," Cstm")))</f>
        <v>LB402BD Cstm</v>
      </c>
      <c r="G13" s="193" t="s">
        <v>18</v>
      </c>
      <c r="H13" s="207" t="s">
        <v>725</v>
      </c>
      <c r="O13" t="s">
        <v>671</v>
      </c>
      <c r="P13" s="193" t="str">
        <f>IF($AB$11=1,"T","")</f>
        <v/>
      </c>
      <c r="Q13" s="193" t="str">
        <f>IF($AB$26=1,"D","")</f>
        <v>D</v>
      </c>
      <c r="R13" s="193" t="str">
        <f>IF($AB$15=1,"WM","")</f>
        <v/>
      </c>
      <c r="S13" s="194" t="str">
        <f>IF($AB$7=1,"B","")</f>
        <v/>
      </c>
      <c r="T13" s="193">
        <f>IF(ISNUMBER(B13)=TRUE,B13,1)</f>
        <v>1</v>
      </c>
      <c r="U13" s="193">
        <f>IF(B13="",0,1)</f>
        <v>0</v>
      </c>
      <c r="V13" s="9">
        <f>IF(B13="",0,T13)</f>
        <v>0</v>
      </c>
      <c r="W13" s="196" t="s">
        <v>671</v>
      </c>
      <c r="X13" t="s">
        <v>574</v>
      </c>
      <c r="Y13" s="197">
        <v>900</v>
      </c>
      <c r="Z13" s="197">
        <f>IF(U13=1,V13*(Y13+$AE$36),0)</f>
        <v>0</v>
      </c>
      <c r="AB13" t="s">
        <v>18</v>
      </c>
      <c r="AG13" s="204"/>
      <c r="AI13" s="9">
        <f>+V27</f>
        <v>0</v>
      </c>
      <c r="AJ13" s="196" t="s">
        <v>685</v>
      </c>
      <c r="AM13" s="9">
        <f>+$V$17</f>
        <v>0</v>
      </c>
      <c r="AN13" s="196" t="s">
        <v>675</v>
      </c>
      <c r="AO13" t="s">
        <v>574</v>
      </c>
      <c r="AQ13" s="9">
        <f>+$V$29</f>
        <v>0</v>
      </c>
      <c r="AR13" s="196" t="s">
        <v>687</v>
      </c>
      <c r="AS13" t="s">
        <v>379</v>
      </c>
      <c r="AU13">
        <f>+AB26</f>
        <v>1</v>
      </c>
      <c r="AV13" t="s">
        <v>741</v>
      </c>
      <c r="AY13" t="str">
        <f>IF(U13=1,CONCATENATE(W13,$AF$39,$AG$39,$AH$39,$AI$39,$AJ$39,$AK$39,$AL$39),"")</f>
        <v/>
      </c>
      <c r="AZ13" t="e">
        <f t="shared" si="0"/>
        <v>#N/A</v>
      </c>
      <c r="BA13" t="b">
        <f t="shared" si="1"/>
        <v>1</v>
      </c>
      <c r="BD13" t="str">
        <f t="shared" si="2"/>
        <v>LB400BCT633N3</v>
      </c>
      <c r="BE13" t="s">
        <v>758</v>
      </c>
      <c r="BF13" t="s">
        <v>753</v>
      </c>
      <c r="BG13" t="s">
        <v>670</v>
      </c>
      <c r="BH13" s="204" t="s">
        <v>544</v>
      </c>
      <c r="BI13" s="204" t="s">
        <v>554</v>
      </c>
      <c r="BJ13" s="204">
        <v>6</v>
      </c>
      <c r="BK13" s="204">
        <v>3</v>
      </c>
      <c r="BL13" s="204">
        <v>3</v>
      </c>
      <c r="BM13" s="204" t="s">
        <v>748</v>
      </c>
      <c r="BN13" s="204">
        <v>3</v>
      </c>
    </row>
    <row r="14" spans="2:68" x14ac:dyDescent="0.3">
      <c r="B14" s="193"/>
      <c r="C14" s="1" t="s">
        <v>672</v>
      </c>
      <c r="E14" s="200"/>
      <c r="F14" s="203"/>
      <c r="G14" s="211"/>
      <c r="H14" s="1" t="s">
        <v>258</v>
      </c>
      <c r="P14" s="193"/>
      <c r="W14" s="1" t="s">
        <v>672</v>
      </c>
      <c r="Y14" s="198"/>
      <c r="Z14" s="198"/>
      <c r="AB14" s="9">
        <f>IF(G14="",0,1)</f>
        <v>0</v>
      </c>
      <c r="AC14" t="s">
        <v>258</v>
      </c>
      <c r="AD14">
        <v>0</v>
      </c>
      <c r="AE14" s="197">
        <f>AB14*AD14</f>
        <v>0</v>
      </c>
      <c r="AG14" s="204">
        <v>5</v>
      </c>
      <c r="AJ14" s="1"/>
      <c r="AM14" s="9">
        <f>+$V$20</f>
        <v>0</v>
      </c>
      <c r="AN14" s="196" t="s">
        <v>678</v>
      </c>
      <c r="AO14" t="s">
        <v>379</v>
      </c>
      <c r="AQ14">
        <f>SUM(AQ6:AQ13)</f>
        <v>1</v>
      </c>
      <c r="AR14" s="196" t="s">
        <v>728</v>
      </c>
      <c r="AU14">
        <f>SUM(AU12:AU13)</f>
        <v>1</v>
      </c>
      <c r="AV14" t="s">
        <v>742</v>
      </c>
      <c r="AZ14" t="e">
        <f t="shared" si="0"/>
        <v>#N/A</v>
      </c>
      <c r="BA14" t="b">
        <f t="shared" si="1"/>
        <v>1</v>
      </c>
      <c r="BD14" t="str">
        <f t="shared" si="2"/>
        <v>LB400BCI633N3</v>
      </c>
      <c r="BE14" t="s">
        <v>759</v>
      </c>
      <c r="BF14" t="s">
        <v>753</v>
      </c>
      <c r="BG14" t="s">
        <v>670</v>
      </c>
      <c r="BH14" s="204" t="s">
        <v>544</v>
      </c>
      <c r="BI14" s="204" t="s">
        <v>747</v>
      </c>
      <c r="BJ14" s="204">
        <v>6</v>
      </c>
      <c r="BK14" s="204">
        <v>3</v>
      </c>
      <c r="BL14" s="204">
        <v>3</v>
      </c>
      <c r="BM14" s="204" t="s">
        <v>748</v>
      </c>
      <c r="BN14" s="204">
        <v>3</v>
      </c>
    </row>
    <row r="15" spans="2:68" x14ac:dyDescent="0.3">
      <c r="B15" s="211"/>
      <c r="C15" s="208" t="s">
        <v>673</v>
      </c>
      <c r="D15" t="s">
        <v>572</v>
      </c>
      <c r="E15" s="199">
        <f>IF(U15=1,Z15,Y15)</f>
        <v>1010</v>
      </c>
      <c r="F15" s="203" t="str">
        <f>IF(BA15=TRUE,CONCATENATE(O15,P15,Q15,R15,S15," Cstm"),CONCATENATE("Standard Item ",AZ15))</f>
        <v>LB553B Cstm</v>
      </c>
      <c r="G15" s="211"/>
      <c r="H15" t="s">
        <v>260</v>
      </c>
      <c r="O15" t="s">
        <v>673</v>
      </c>
      <c r="P15" s="193" t="str">
        <f>IF($AB$11=1,"T","")</f>
        <v/>
      </c>
      <c r="Q15" s="193"/>
      <c r="T15" s="193">
        <f>IF(ISNUMBER(B15)=TRUE,B15,1)</f>
        <v>1</v>
      </c>
      <c r="U15" s="193">
        <f>IF(B15="",0,1)</f>
        <v>0</v>
      </c>
      <c r="V15" s="9">
        <f>IF(B15="",0,T15)</f>
        <v>0</v>
      </c>
      <c r="W15" s="196" t="s">
        <v>673</v>
      </c>
      <c r="X15" t="s">
        <v>573</v>
      </c>
      <c r="Y15" s="197">
        <v>1010</v>
      </c>
      <c r="Z15" s="197">
        <f>IF(U15=1,V15*(Y15+$AE$36),0)</f>
        <v>0</v>
      </c>
      <c r="AB15" s="9">
        <f>IF(G15="",0,1)</f>
        <v>0</v>
      </c>
      <c r="AC15" t="s">
        <v>260</v>
      </c>
      <c r="AD15">
        <v>45</v>
      </c>
      <c r="AE15" s="197">
        <f>AB15*AD15</f>
        <v>0</v>
      </c>
      <c r="AF15" t="s">
        <v>563</v>
      </c>
      <c r="AG15" s="204">
        <v>6</v>
      </c>
      <c r="AI15" s="9">
        <f>+V29</f>
        <v>0</v>
      </c>
      <c r="AJ15" s="196" t="s">
        <v>687</v>
      </c>
      <c r="AM15" s="9">
        <f>+$V$21</f>
        <v>0</v>
      </c>
      <c r="AN15" s="196" t="s">
        <v>679</v>
      </c>
      <c r="AO15" t="s">
        <v>574</v>
      </c>
      <c r="AY15" t="str">
        <f>IF(U15=1,CONCATENATE(W15,$AF$39,$AG$39,$AH$39,$AI$39,$AJ$39,$AK$39,$AL$39),"")</f>
        <v/>
      </c>
      <c r="AZ15" t="e">
        <f t="shared" si="0"/>
        <v>#N/A</v>
      </c>
      <c r="BA15" t="b">
        <f t="shared" si="1"/>
        <v>1</v>
      </c>
      <c r="BD15" t="str">
        <f t="shared" si="2"/>
        <v>LB402BCI533N3</v>
      </c>
      <c r="BE15" t="s">
        <v>671</v>
      </c>
      <c r="BF15" t="s">
        <v>760</v>
      </c>
      <c r="BG15" t="s">
        <v>671</v>
      </c>
      <c r="BH15" s="204" t="s">
        <v>544</v>
      </c>
      <c r="BI15" s="204" t="s">
        <v>747</v>
      </c>
      <c r="BJ15" s="204">
        <v>5</v>
      </c>
      <c r="BK15" s="204">
        <v>3</v>
      </c>
      <c r="BL15" s="204">
        <v>3</v>
      </c>
      <c r="BM15" s="204" t="s">
        <v>748</v>
      </c>
      <c r="BN15" s="204">
        <v>3</v>
      </c>
    </row>
    <row r="16" spans="2:68" x14ac:dyDescent="0.3">
      <c r="B16" s="211" t="s">
        <v>1234</v>
      </c>
      <c r="C16" s="208" t="s">
        <v>674</v>
      </c>
      <c r="D16" t="s">
        <v>379</v>
      </c>
      <c r="E16" s="199">
        <f>IF(U16=1,Z16,Y16)</f>
        <v>1365</v>
      </c>
      <c r="F16" s="203" t="str">
        <f>IF(BA16=FALSE,CONCATENATE("Standard Item ",AZ16),IF($AB$7=1,CONCATENATE(O16,S16,P16,R16," Cstm"),CONCATENATE(O16,P16,Q16,R16," Cstm")))</f>
        <v>LB418D Cstm</v>
      </c>
      <c r="G16" s="211" t="s">
        <v>1235</v>
      </c>
      <c r="H16" t="str">
        <f>VLOOKUP(1,AQ31:AR34,2,FALSE)</f>
        <v>P70 SuperSensitive</v>
      </c>
      <c r="J16" s="70"/>
      <c r="O16" s="70" t="str">
        <f>IF($AB$16=1,"LB418","LB416")</f>
        <v>LB418</v>
      </c>
      <c r="P16" s="193" t="str">
        <f>IF($AB$11=1,"T","")</f>
        <v/>
      </c>
      <c r="Q16" s="193" t="str">
        <f>IF($AB$26=1,"D","")</f>
        <v>D</v>
      </c>
      <c r="R16" s="193" t="str">
        <f>IF($AB$15=1,"WM","")</f>
        <v/>
      </c>
      <c r="S16" s="194" t="str">
        <f>IF($AB$7=1,"B","")</f>
        <v/>
      </c>
      <c r="T16" s="193">
        <f>IF(ISNUMBER(B16)=TRUE,B16,1)</f>
        <v>1</v>
      </c>
      <c r="U16" s="193">
        <f>IF(B16="",0,1)</f>
        <v>1</v>
      </c>
      <c r="V16" s="9">
        <f>IF(B16="",0,T16)</f>
        <v>1</v>
      </c>
      <c r="W16" s="196" t="s">
        <v>674</v>
      </c>
      <c r="X16" t="s">
        <v>379</v>
      </c>
      <c r="Y16" s="197">
        <v>1010</v>
      </c>
      <c r="Z16" s="197">
        <f>IF(U16=1,V16*(Y16+$AE$36),0)</f>
        <v>1365</v>
      </c>
      <c r="AB16" s="9">
        <f>IF(G16="",0,1)</f>
        <v>1</v>
      </c>
      <c r="AC16" t="s">
        <v>691</v>
      </c>
      <c r="AD16">
        <v>270</v>
      </c>
      <c r="AE16" s="197">
        <f>AB16*AD16</f>
        <v>270</v>
      </c>
      <c r="AG16" s="204">
        <v>7</v>
      </c>
      <c r="AI16" s="9">
        <f>+V30</f>
        <v>0</v>
      </c>
      <c r="AJ16" s="196" t="s">
        <v>688</v>
      </c>
      <c r="AM16" s="9">
        <f>+$V$23</f>
        <v>0</v>
      </c>
      <c r="AN16" s="196" t="s">
        <v>681</v>
      </c>
      <c r="AO16" t="s">
        <v>379</v>
      </c>
      <c r="AQ16" s="9">
        <f>+$V$7</f>
        <v>0</v>
      </c>
      <c r="AR16" s="196" t="s">
        <v>665</v>
      </c>
      <c r="AS16" t="s">
        <v>574</v>
      </c>
      <c r="AU16">
        <f>+AB14+AB15+AB17</f>
        <v>0</v>
      </c>
      <c r="AV16" t="s">
        <v>744</v>
      </c>
      <c r="AY16" t="str">
        <f>IF(U16=1,CONCATENATE(W16,$AF$39,$AG$39,$AH$39,$AI$39,$AJ$39,$AK$39,$AL$39),"")</f>
        <v>LB416CI77DN3</v>
      </c>
      <c r="AZ16" t="e">
        <f t="shared" si="0"/>
        <v>#N/A</v>
      </c>
      <c r="BA16" t="b">
        <f t="shared" si="1"/>
        <v>1</v>
      </c>
      <c r="BD16" t="str">
        <f t="shared" si="2"/>
        <v>LB402BBT63DN3</v>
      </c>
      <c r="BE16" t="s">
        <v>761</v>
      </c>
      <c r="BF16" t="s">
        <v>762</v>
      </c>
      <c r="BG16" t="s">
        <v>671</v>
      </c>
      <c r="BH16" s="204" t="s">
        <v>565</v>
      </c>
      <c r="BI16" s="204" t="s">
        <v>554</v>
      </c>
      <c r="BJ16" s="204">
        <v>6</v>
      </c>
      <c r="BK16" s="204">
        <v>3</v>
      </c>
      <c r="BL16" s="204" t="s">
        <v>705</v>
      </c>
      <c r="BM16" s="204" t="s">
        <v>748</v>
      </c>
      <c r="BN16" s="204">
        <v>3</v>
      </c>
    </row>
    <row r="17" spans="2:73" x14ac:dyDescent="0.3">
      <c r="B17" s="211"/>
      <c r="C17" s="208" t="s">
        <v>675</v>
      </c>
      <c r="D17" t="s">
        <v>574</v>
      </c>
      <c r="E17" s="199">
        <f>IF(U17=1,Z17,Y17)</f>
        <v>1065</v>
      </c>
      <c r="F17" s="203" t="str">
        <f>IF(BA17=FALSE,CONCATENATE("Standard Item ",AZ17),IF($AB$7=1,CONCATENATE(O17,S17,P17,R17," Cstm"),CONCATENATE(O17,P17,Q17,R17," Cstm")))</f>
        <v>LB419D Cstm</v>
      </c>
      <c r="G17" s="211"/>
      <c r="H17" t="s">
        <v>473</v>
      </c>
      <c r="O17" s="70" t="str">
        <f>IF($AB$16=1,"LB419","LB417")</f>
        <v>LB419</v>
      </c>
      <c r="P17" s="193" t="str">
        <f>IF($AB$11=1,"T","")</f>
        <v/>
      </c>
      <c r="Q17" s="193" t="str">
        <f>IF($AB$26=1,"D","")</f>
        <v>D</v>
      </c>
      <c r="R17" s="193" t="str">
        <f>IF($AB$15=1,"WM","")</f>
        <v/>
      </c>
      <c r="S17" s="194" t="str">
        <f>IF($AB$7=1,"B","")</f>
        <v/>
      </c>
      <c r="T17" s="193">
        <f>IF(ISNUMBER(B17)=TRUE,B17,1)</f>
        <v>1</v>
      </c>
      <c r="U17" s="193">
        <f>IF(B17="",0,1)</f>
        <v>0</v>
      </c>
      <c r="V17" s="9">
        <f>IF(B17="",0,T17)</f>
        <v>0</v>
      </c>
      <c r="W17" s="196" t="s">
        <v>675</v>
      </c>
      <c r="X17" t="s">
        <v>574</v>
      </c>
      <c r="Y17" s="197">
        <v>1065</v>
      </c>
      <c r="Z17" s="197">
        <f>IF(U17=1,V17*(Y17+$AE$36),0)</f>
        <v>0</v>
      </c>
      <c r="AB17" s="9">
        <f>IF(G17="",0,1)</f>
        <v>0</v>
      </c>
      <c r="AC17" t="s">
        <v>473</v>
      </c>
      <c r="AD17">
        <v>0</v>
      </c>
      <c r="AE17" s="197">
        <f>AB17*AD17</f>
        <v>0</v>
      </c>
      <c r="AG17" s="204">
        <v>8</v>
      </c>
      <c r="AI17" s="17">
        <f>SUM(AI8:AI16)</f>
        <v>0</v>
      </c>
      <c r="AJ17" s="206" t="s">
        <v>716</v>
      </c>
      <c r="AM17" s="9">
        <f>+$V$24</f>
        <v>0</v>
      </c>
      <c r="AN17" s="196" t="s">
        <v>682</v>
      </c>
      <c r="AO17" t="s">
        <v>574</v>
      </c>
      <c r="AQ17" s="9">
        <f>+$V$10</f>
        <v>0</v>
      </c>
      <c r="AR17" s="196" t="s">
        <v>668</v>
      </c>
      <c r="AS17" t="s">
        <v>574</v>
      </c>
      <c r="AU17">
        <f>+AB16</f>
        <v>1</v>
      </c>
      <c r="AV17" t="s">
        <v>745</v>
      </c>
      <c r="AY17" t="str">
        <f>IF(U17=1,CONCATENATE(W17,$AF$39,$AG$39,$AH$39,$AI$39,$AJ$39,$AK$39,$AL$39),"")</f>
        <v/>
      </c>
      <c r="AZ17" t="e">
        <f t="shared" si="0"/>
        <v>#N/A</v>
      </c>
      <c r="BA17" t="b">
        <f t="shared" si="1"/>
        <v>1</v>
      </c>
      <c r="BD17" t="str">
        <f t="shared" ref="BD17:BD80" si="3">CONCATENATE(BG17,BH17,BI17,BJ17,BK17,BL17,BM17,BN17)</f>
        <v>LB402BCT533N3</v>
      </c>
      <c r="BE17" t="s">
        <v>763</v>
      </c>
      <c r="BF17" t="s">
        <v>764</v>
      </c>
      <c r="BG17" t="s">
        <v>671</v>
      </c>
      <c r="BH17" s="204" t="s">
        <v>544</v>
      </c>
      <c r="BI17" s="204" t="s">
        <v>554</v>
      </c>
      <c r="BJ17" s="204">
        <v>5</v>
      </c>
      <c r="BK17" s="204">
        <v>3</v>
      </c>
      <c r="BL17" s="204">
        <v>3</v>
      </c>
      <c r="BM17" s="204" t="s">
        <v>748</v>
      </c>
      <c r="BN17" s="204">
        <v>3</v>
      </c>
    </row>
    <row r="18" spans="2:73" x14ac:dyDescent="0.3">
      <c r="B18" s="193"/>
      <c r="C18" s="1" t="s">
        <v>676</v>
      </c>
      <c r="E18" s="200"/>
      <c r="F18" s="203"/>
      <c r="P18" s="193"/>
      <c r="W18" s="1" t="s">
        <v>676</v>
      </c>
      <c r="Y18" s="198"/>
      <c r="Z18" s="198"/>
      <c r="AB18" s="17">
        <f>SUM(AB14:AB17)</f>
        <v>1</v>
      </c>
      <c r="AG18" s="204"/>
      <c r="AM18" s="9">
        <f>+$V$26</f>
        <v>0</v>
      </c>
      <c r="AN18" s="196" t="s">
        <v>684</v>
      </c>
      <c r="AO18" t="s">
        <v>379</v>
      </c>
      <c r="AQ18" s="9">
        <f>+$V$13</f>
        <v>0</v>
      </c>
      <c r="AR18" s="196" t="s">
        <v>671</v>
      </c>
      <c r="AS18" t="s">
        <v>574</v>
      </c>
      <c r="AZ18" t="e">
        <f t="shared" si="0"/>
        <v>#N/A</v>
      </c>
      <c r="BA18" t="b">
        <f t="shared" si="1"/>
        <v>1</v>
      </c>
      <c r="BD18" t="str">
        <f t="shared" si="3"/>
        <v>LB402BCT633N3</v>
      </c>
      <c r="BE18" t="s">
        <v>765</v>
      </c>
      <c r="BF18" t="s">
        <v>764</v>
      </c>
      <c r="BG18" t="s">
        <v>671</v>
      </c>
      <c r="BH18" s="204" t="s">
        <v>544</v>
      </c>
      <c r="BI18" s="204" t="s">
        <v>554</v>
      </c>
      <c r="BJ18" s="204">
        <v>6</v>
      </c>
      <c r="BK18" s="204">
        <v>3</v>
      </c>
      <c r="BL18" s="204">
        <v>3</v>
      </c>
      <c r="BM18" s="204" t="s">
        <v>748</v>
      </c>
      <c r="BN18" s="204">
        <v>3</v>
      </c>
    </row>
    <row r="19" spans="2:73" x14ac:dyDescent="0.3">
      <c r="B19" s="211"/>
      <c r="C19" s="208" t="s">
        <v>677</v>
      </c>
      <c r="D19" t="s">
        <v>572</v>
      </c>
      <c r="E19" s="199">
        <f>IF(U19=1,Z19,Y19)</f>
        <v>1060</v>
      </c>
      <c r="F19" s="203" t="str">
        <f>IF(BA19=TRUE,CONCATENATE(O19,P19,Q19,R19,S19," Cstm"),CONCATENATE("Standard Item ",AZ19))</f>
        <v>LB553BK Cstm</v>
      </c>
      <c r="G19" s="193" t="s">
        <v>19</v>
      </c>
      <c r="H19" s="207" t="s">
        <v>737</v>
      </c>
      <c r="O19" t="s">
        <v>677</v>
      </c>
      <c r="P19" s="193" t="str">
        <f>IF($AB$11=1,"T","")</f>
        <v/>
      </c>
      <c r="Q19" s="193"/>
      <c r="T19" s="193">
        <f>IF(ISNUMBER(B19)=TRUE,B19,1)</f>
        <v>1</v>
      </c>
      <c r="U19" s="193">
        <f>IF(B19="",0,1)</f>
        <v>0</v>
      </c>
      <c r="V19" s="9">
        <f>IF(B19="",0,T19)</f>
        <v>0</v>
      </c>
      <c r="W19" s="196" t="s">
        <v>677</v>
      </c>
      <c r="X19" t="s">
        <v>573</v>
      </c>
      <c r="Y19" s="197">
        <v>1060</v>
      </c>
      <c r="Z19" s="197">
        <f>IF(U19=1,V19*(Y19+$AE$36),0)</f>
        <v>0</v>
      </c>
      <c r="AB19" t="s">
        <v>19</v>
      </c>
      <c r="AG19" s="204"/>
      <c r="AI19" s="9">
        <f>+AB10</f>
        <v>0</v>
      </c>
      <c r="AJ19" t="s">
        <v>690</v>
      </c>
      <c r="AM19" s="9">
        <f>+$V$27</f>
        <v>0</v>
      </c>
      <c r="AN19" s="196" t="s">
        <v>685</v>
      </c>
      <c r="AO19" t="s">
        <v>574</v>
      </c>
      <c r="AQ19" s="9">
        <f>+$V$17</f>
        <v>0</v>
      </c>
      <c r="AR19" s="196" t="s">
        <v>675</v>
      </c>
      <c r="AS19" t="s">
        <v>574</v>
      </c>
      <c r="AY19" t="str">
        <f>IF(U19=1,CONCATENATE(W19,$AF$39,$AG$39,$AH$39,$AI$39,$AJ$39,$AK$39,$AL$39),"")</f>
        <v/>
      </c>
      <c r="AZ19" t="e">
        <f t="shared" si="0"/>
        <v>#N/A</v>
      </c>
      <c r="BA19" t="b">
        <f t="shared" si="1"/>
        <v>1</v>
      </c>
      <c r="BD19" t="str">
        <f t="shared" si="3"/>
        <v>LB402BCI633N3</v>
      </c>
      <c r="BE19" t="s">
        <v>766</v>
      </c>
      <c r="BF19" t="s">
        <v>760</v>
      </c>
      <c r="BG19" t="s">
        <v>671</v>
      </c>
      <c r="BH19" s="204" t="s">
        <v>544</v>
      </c>
      <c r="BI19" s="204" t="s">
        <v>747</v>
      </c>
      <c r="BJ19" s="204">
        <v>6</v>
      </c>
      <c r="BK19" s="204">
        <v>3</v>
      </c>
      <c r="BL19" s="204">
        <v>3</v>
      </c>
      <c r="BM19" s="204" t="s">
        <v>748</v>
      </c>
      <c r="BN19" s="204">
        <v>3</v>
      </c>
    </row>
    <row r="20" spans="2:73" x14ac:dyDescent="0.3">
      <c r="B20" s="211"/>
      <c r="C20" s="208" t="s">
        <v>678</v>
      </c>
      <c r="D20" t="s">
        <v>379</v>
      </c>
      <c r="E20" s="199">
        <f>IF(U20=1,Z20,Y20)</f>
        <v>1060</v>
      </c>
      <c r="F20" s="203" t="str">
        <f>IF(BA20=TRUE,CONCATENATE(O20,P20,Q20,R20,S20," Cstm"),CONCATENATE("Standard Item ",AZ20))</f>
        <v>LB418KD Cstm</v>
      </c>
      <c r="G20" s="211"/>
      <c r="H20" s="1" t="s">
        <v>694</v>
      </c>
      <c r="O20" s="70" t="str">
        <f>IF($AB$16=1,"LB418K","LB416K")</f>
        <v>LB418K</v>
      </c>
      <c r="P20" s="193" t="str">
        <f>IF($AB$11=1,"T","")</f>
        <v/>
      </c>
      <c r="Q20" s="193" t="str">
        <f>IF($AB$26=1,"D","")</f>
        <v>D</v>
      </c>
      <c r="R20" s="193" t="str">
        <f>IF($AB$15=1,"WM","")</f>
        <v/>
      </c>
      <c r="S20" s="194" t="str">
        <f>IF($AB$7=1,"B","")</f>
        <v/>
      </c>
      <c r="T20" s="193">
        <f>IF(ISNUMBER(B20)=TRUE,B20,1)</f>
        <v>1</v>
      </c>
      <c r="U20" s="193">
        <f>IF(B20="",0,1)</f>
        <v>0</v>
      </c>
      <c r="V20" s="9">
        <f>IF(B20="",0,T20)</f>
        <v>0</v>
      </c>
      <c r="W20" s="196" t="s">
        <v>678</v>
      </c>
      <c r="X20" t="s">
        <v>379</v>
      </c>
      <c r="Y20" s="197">
        <v>1060</v>
      </c>
      <c r="Z20" s="197">
        <f>IF(U20=1,V20*(Y20+$AE$36),0)</f>
        <v>0</v>
      </c>
      <c r="AB20" s="9">
        <f>IF(G20="",0,1)</f>
        <v>0</v>
      </c>
      <c r="AC20" t="s">
        <v>694</v>
      </c>
      <c r="AD20">
        <v>0</v>
      </c>
      <c r="AE20" s="197">
        <f>AB20*AD20</f>
        <v>0</v>
      </c>
      <c r="AG20" s="204">
        <v>3</v>
      </c>
      <c r="AI20" s="9">
        <f>+AB14</f>
        <v>0</v>
      </c>
      <c r="AJ20" t="s">
        <v>258</v>
      </c>
      <c r="AM20" s="9">
        <f>+$V$29</f>
        <v>0</v>
      </c>
      <c r="AN20" s="196" t="s">
        <v>687</v>
      </c>
      <c r="AO20" t="s">
        <v>379</v>
      </c>
      <c r="AQ20" s="9">
        <f>+$V$21</f>
        <v>0</v>
      </c>
      <c r="AR20" s="196" t="s">
        <v>679</v>
      </c>
      <c r="AS20" t="s">
        <v>574</v>
      </c>
      <c r="AY20" t="str">
        <f>IF(U20=1,CONCATENATE(W20,$AF$39,$AG$39,$AH$39,$AI$39,$AJ$39,$AK$39,$AL$39),"")</f>
        <v/>
      </c>
      <c r="AZ20" t="e">
        <f t="shared" si="0"/>
        <v>#N/A</v>
      </c>
      <c r="BA20" t="b">
        <f t="shared" si="1"/>
        <v>1</v>
      </c>
      <c r="BD20" t="str">
        <f t="shared" si="3"/>
        <v>LB416CI533N3</v>
      </c>
      <c r="BE20" t="s">
        <v>674</v>
      </c>
      <c r="BF20" t="s">
        <v>767</v>
      </c>
      <c r="BG20" t="s">
        <v>674</v>
      </c>
      <c r="BH20" s="204" t="s">
        <v>544</v>
      </c>
      <c r="BI20" s="204" t="s">
        <v>747</v>
      </c>
      <c r="BJ20" s="204">
        <v>5</v>
      </c>
      <c r="BK20" s="204">
        <v>3</v>
      </c>
      <c r="BL20" s="204">
        <v>3</v>
      </c>
      <c r="BM20" s="204" t="s">
        <v>748</v>
      </c>
      <c r="BN20" s="204">
        <v>3</v>
      </c>
    </row>
    <row r="21" spans="2:73" x14ac:dyDescent="0.3">
      <c r="B21" s="211"/>
      <c r="C21" s="208" t="s">
        <v>679</v>
      </c>
      <c r="D21" t="s">
        <v>574</v>
      </c>
      <c r="E21" s="199">
        <f>IF(U21=1,Z21,Y21)</f>
        <v>1120</v>
      </c>
      <c r="F21" s="203" t="str">
        <f>IF(BA21=TRUE,CONCATENATE(O21,P21,Q21,R21,S21," Cstm"),CONCATENATE("Standard Item ",AZ21))</f>
        <v>LB419KD Cstm</v>
      </c>
      <c r="G21" s="211"/>
      <c r="H21" t="s">
        <v>1236</v>
      </c>
      <c r="O21" s="70" t="str">
        <f>IF($AB$16=1,"LB419K","LB417K")</f>
        <v>LB419K</v>
      </c>
      <c r="P21" s="193" t="str">
        <f>IF($AB$11=1,"T","")</f>
        <v/>
      </c>
      <c r="Q21" s="193" t="str">
        <f>IF($AB$26=1,"D","")</f>
        <v>D</v>
      </c>
      <c r="R21" s="193" t="str">
        <f>IF($AB$15=1,"WM","")</f>
        <v/>
      </c>
      <c r="S21" s="194" t="str">
        <f>IF($AB$7=1,"B","")</f>
        <v/>
      </c>
      <c r="T21" s="193">
        <f>IF(ISNUMBER(B21)=TRUE,B21,1)</f>
        <v>1</v>
      </c>
      <c r="U21" s="193">
        <f>IF(B21="",0,1)</f>
        <v>0</v>
      </c>
      <c r="V21" s="9">
        <f>IF(B21="",0,T21)</f>
        <v>0</v>
      </c>
      <c r="W21" s="196" t="s">
        <v>679</v>
      </c>
      <c r="X21" t="s">
        <v>574</v>
      </c>
      <c r="Y21" s="197">
        <v>1120</v>
      </c>
      <c r="Z21" s="197">
        <f>IF(U21=1,V21*(Y21+$AE$36),0)</f>
        <v>0</v>
      </c>
      <c r="AB21" s="9">
        <f>IF(G21="",0,1)</f>
        <v>0</v>
      </c>
      <c r="AC21" t="s">
        <v>695</v>
      </c>
      <c r="AD21">
        <v>-2.5499999999999998</v>
      </c>
      <c r="AE21" s="197">
        <f>AB21*AD21</f>
        <v>0</v>
      </c>
      <c r="AG21" s="204">
        <v>2</v>
      </c>
      <c r="AI21" s="9">
        <f>+AB16</f>
        <v>1</v>
      </c>
      <c r="AJ21" t="s">
        <v>691</v>
      </c>
      <c r="AM21" s="9">
        <f>+$V$30</f>
        <v>0</v>
      </c>
      <c r="AN21" s="196" t="s">
        <v>688</v>
      </c>
      <c r="AO21" t="s">
        <v>574</v>
      </c>
      <c r="AQ21" s="9">
        <f>+$V$24</f>
        <v>0</v>
      </c>
      <c r="AR21" s="196" t="s">
        <v>682</v>
      </c>
      <c r="AS21" t="s">
        <v>574</v>
      </c>
      <c r="AY21" t="str">
        <f>IF(U21=1,CONCATENATE(W21,$AF$39,$AG$39,$AH$39,$AI$39,$AJ$39,$AK$39,$AL$39),"")</f>
        <v/>
      </c>
      <c r="AZ21" t="e">
        <f t="shared" si="0"/>
        <v>#N/A</v>
      </c>
      <c r="BA21" t="b">
        <f t="shared" si="1"/>
        <v>1</v>
      </c>
      <c r="BD21" t="str">
        <f t="shared" si="3"/>
        <v>LB416BT63DN3</v>
      </c>
      <c r="BE21" t="s">
        <v>768</v>
      </c>
      <c r="BF21" t="s">
        <v>769</v>
      </c>
      <c r="BG21" t="s">
        <v>674</v>
      </c>
      <c r="BH21" s="204" t="s">
        <v>565</v>
      </c>
      <c r="BI21" s="204" t="s">
        <v>554</v>
      </c>
      <c r="BJ21" s="204">
        <v>6</v>
      </c>
      <c r="BK21" s="204">
        <v>3</v>
      </c>
      <c r="BL21" s="204" t="s">
        <v>705</v>
      </c>
      <c r="BM21" s="204" t="s">
        <v>748</v>
      </c>
      <c r="BN21" s="204">
        <v>3</v>
      </c>
    </row>
    <row r="22" spans="2:73" x14ac:dyDescent="0.3">
      <c r="B22" s="193"/>
      <c r="C22" s="1" t="s">
        <v>680</v>
      </c>
      <c r="E22" s="200"/>
      <c r="F22" s="203"/>
      <c r="G22" s="211"/>
      <c r="H22" t="str">
        <f>VLOOKUP(1,AQ31:AR34,2,FALSE)</f>
        <v>P70 SuperSensitive</v>
      </c>
      <c r="P22" s="193"/>
      <c r="W22" s="1" t="s">
        <v>680</v>
      </c>
      <c r="Y22" s="198"/>
      <c r="Z22" s="198"/>
      <c r="AB22" s="9">
        <f>IF(G22="",0,1)</f>
        <v>0</v>
      </c>
      <c r="AC22" t="s">
        <v>691</v>
      </c>
      <c r="AD22">
        <v>0</v>
      </c>
      <c r="AE22" s="197">
        <f>AB22*AD22</f>
        <v>0</v>
      </c>
      <c r="AG22" s="204">
        <v>7</v>
      </c>
      <c r="AI22" s="9">
        <f>+AB17</f>
        <v>0</v>
      </c>
      <c r="AJ22" t="s">
        <v>473</v>
      </c>
      <c r="AM22">
        <f>SUM(AM6:AM21)</f>
        <v>1</v>
      </c>
      <c r="AN22" s="1"/>
      <c r="AQ22" s="9">
        <f>+$V$27</f>
        <v>0</v>
      </c>
      <c r="AR22" s="196" t="s">
        <v>685</v>
      </c>
      <c r="AS22" t="s">
        <v>574</v>
      </c>
      <c r="AZ22" t="e">
        <f t="shared" si="0"/>
        <v>#N/A</v>
      </c>
      <c r="BA22" t="b">
        <f t="shared" si="1"/>
        <v>1</v>
      </c>
      <c r="BD22" t="str">
        <f t="shared" si="3"/>
        <v>LB416KCI533N3</v>
      </c>
      <c r="BE22" t="s">
        <v>678</v>
      </c>
      <c r="BF22" t="s">
        <v>770</v>
      </c>
      <c r="BG22" t="s">
        <v>678</v>
      </c>
      <c r="BH22" s="204" t="s">
        <v>544</v>
      </c>
      <c r="BI22" s="204" t="s">
        <v>747</v>
      </c>
      <c r="BJ22" s="204">
        <v>5</v>
      </c>
      <c r="BK22" s="204">
        <v>3</v>
      </c>
      <c r="BL22" s="204">
        <v>3</v>
      </c>
      <c r="BM22" s="204" t="s">
        <v>748</v>
      </c>
      <c r="BN22" s="204">
        <v>3</v>
      </c>
      <c r="BU22" s="209"/>
    </row>
    <row r="23" spans="2:73" x14ac:dyDescent="0.3">
      <c r="B23" s="211"/>
      <c r="C23" s="208" t="s">
        <v>877</v>
      </c>
      <c r="D23" t="s">
        <v>379</v>
      </c>
      <c r="E23" s="199">
        <f>IF(U23=1,Z23,Y23)</f>
        <v>895</v>
      </c>
      <c r="F23" s="203" t="str">
        <f>IF(BA23=TRUE,CONCATENATE(O23,P23,Q23,R23,S23," Cstm"),CONCATENATE("Standard Item ",AZ23))</f>
        <v>LB420KD Cstm</v>
      </c>
      <c r="O23" t="s">
        <v>681</v>
      </c>
      <c r="P23" s="193" t="str">
        <f>IF($AB$11=1,"T","")</f>
        <v/>
      </c>
      <c r="Q23" s="193" t="str">
        <f>IF($AB$26=1,"D","")</f>
        <v>D</v>
      </c>
      <c r="R23" s="193" t="str">
        <f>IF($AB$15=1,"WM","")</f>
        <v/>
      </c>
      <c r="S23" s="194"/>
      <c r="T23" s="193">
        <f>IF(ISNUMBER(B23)=TRUE,B23,1)</f>
        <v>1</v>
      </c>
      <c r="U23" s="193">
        <f>IF(B23="",0,1)</f>
        <v>0</v>
      </c>
      <c r="V23" s="9">
        <f>IF(B23="",0,T23)</f>
        <v>0</v>
      </c>
      <c r="W23" s="196" t="s">
        <v>681</v>
      </c>
      <c r="X23" t="s">
        <v>379</v>
      </c>
      <c r="Y23" s="197">
        <v>895</v>
      </c>
      <c r="Z23" s="197">
        <f>IF(U23=1,V23*(Y23+$AE$36),0)</f>
        <v>0</v>
      </c>
      <c r="AB23">
        <f>SUM(AB20:AB22)</f>
        <v>0</v>
      </c>
      <c r="AG23" s="204"/>
      <c r="AI23" s="9">
        <f>+AB21</f>
        <v>0</v>
      </c>
      <c r="AJ23" t="s">
        <v>695</v>
      </c>
      <c r="AQ23" s="9">
        <f>+$V$30</f>
        <v>0</v>
      </c>
      <c r="AR23" s="196" t="s">
        <v>688</v>
      </c>
      <c r="AS23" t="s">
        <v>574</v>
      </c>
      <c r="AY23" t="str">
        <f>IF(U23=1,CONCATENATE(W23,$AF$39,$AG$39,$AH$39,$AI$39,$AJ$39,$AK$39,$AL$39),"")</f>
        <v/>
      </c>
      <c r="AZ23" t="e">
        <f t="shared" si="0"/>
        <v>#N/A</v>
      </c>
      <c r="BA23" t="b">
        <f t="shared" si="1"/>
        <v>1</v>
      </c>
      <c r="BD23" t="str">
        <f t="shared" si="3"/>
        <v>LB416KCT533N3</v>
      </c>
      <c r="BE23" t="s">
        <v>771</v>
      </c>
      <c r="BF23" t="s">
        <v>772</v>
      </c>
      <c r="BG23" t="s">
        <v>678</v>
      </c>
      <c r="BH23" s="204" t="s">
        <v>544</v>
      </c>
      <c r="BI23" s="204" t="s">
        <v>554</v>
      </c>
      <c r="BJ23" s="204">
        <v>5</v>
      </c>
      <c r="BK23" s="204">
        <v>3</v>
      </c>
      <c r="BL23" s="204">
        <v>3</v>
      </c>
      <c r="BM23" s="204" t="s">
        <v>748</v>
      </c>
      <c r="BN23" s="204">
        <v>3</v>
      </c>
      <c r="BU23" s="209"/>
    </row>
    <row r="24" spans="2:73" x14ac:dyDescent="0.3">
      <c r="B24" s="211"/>
      <c r="C24" s="208" t="s">
        <v>878</v>
      </c>
      <c r="D24" t="s">
        <v>574</v>
      </c>
      <c r="E24" s="199">
        <f>IF(U24=1,Z24,Y24)</f>
        <v>970</v>
      </c>
      <c r="F24" s="203" t="str">
        <f>IF(BA24=TRUE,CONCATENATE(O24,P24,Q24,R24,S24," Cstm"),CONCATENATE("Standard Item ",AZ24))</f>
        <v>LB422KD Cstm</v>
      </c>
      <c r="G24" s="193" t="s">
        <v>22</v>
      </c>
      <c r="H24" s="207" t="s">
        <v>738</v>
      </c>
      <c r="O24" t="s">
        <v>682</v>
      </c>
      <c r="P24" s="193" t="str">
        <f>IF($AB$11=1,"T","")</f>
        <v/>
      </c>
      <c r="Q24" s="193" t="str">
        <f>IF($AB$26=1,"D","")</f>
        <v>D</v>
      </c>
      <c r="R24" s="193" t="str">
        <f>IF($AB$15=1,"WM","")</f>
        <v/>
      </c>
      <c r="S24" s="194"/>
      <c r="T24" s="193">
        <f>IF(ISNUMBER(B24)=TRUE,B24,1)</f>
        <v>1</v>
      </c>
      <c r="U24" s="193">
        <f>IF(B24="",0,1)</f>
        <v>0</v>
      </c>
      <c r="V24" s="9">
        <f>IF(B24="",0,T24)</f>
        <v>0</v>
      </c>
      <c r="W24" s="196" t="s">
        <v>682</v>
      </c>
      <c r="X24" t="s">
        <v>574</v>
      </c>
      <c r="Y24" s="197">
        <v>970</v>
      </c>
      <c r="Z24" s="197">
        <f>IF(U24=1,V24*(Y24+$AE$36),0)</f>
        <v>0</v>
      </c>
      <c r="AB24" t="s">
        <v>22</v>
      </c>
      <c r="AG24" s="204"/>
      <c r="AI24" s="9">
        <f>+AB22</f>
        <v>0</v>
      </c>
      <c r="AJ24" t="s">
        <v>691</v>
      </c>
      <c r="AQ24">
        <f>SUM(AQ16:AQ23)</f>
        <v>0</v>
      </c>
      <c r="AR24" s="196" t="s">
        <v>729</v>
      </c>
      <c r="AY24" t="str">
        <f>IF(U24=1,CONCATENATE(W24,$AF$39,$AG$39,$AH$39,$AI$39,$AJ$39,$AK$39,$AL$39),"")</f>
        <v/>
      </c>
      <c r="AZ24" t="e">
        <f t="shared" si="0"/>
        <v>#N/A</v>
      </c>
      <c r="BA24" t="b">
        <f t="shared" si="1"/>
        <v>1</v>
      </c>
      <c r="BD24" t="str">
        <f t="shared" si="3"/>
        <v>LB416KCT633N3</v>
      </c>
      <c r="BE24" t="s">
        <v>773</v>
      </c>
      <c r="BF24" t="s">
        <v>772</v>
      </c>
      <c r="BG24" t="s">
        <v>678</v>
      </c>
      <c r="BH24" s="204" t="s">
        <v>544</v>
      </c>
      <c r="BI24" s="204" t="s">
        <v>554</v>
      </c>
      <c r="BJ24" s="204">
        <v>6</v>
      </c>
      <c r="BK24" s="204">
        <v>3</v>
      </c>
      <c r="BL24" s="204">
        <v>3</v>
      </c>
      <c r="BM24" s="204" t="s">
        <v>748</v>
      </c>
      <c r="BN24" s="204">
        <v>3</v>
      </c>
      <c r="BU24" s="209"/>
    </row>
    <row r="25" spans="2:73" x14ac:dyDescent="0.3">
      <c r="B25" s="193"/>
      <c r="C25" s="1" t="s">
        <v>683</v>
      </c>
      <c r="E25" s="200"/>
      <c r="F25" s="203"/>
      <c r="G25" s="211"/>
      <c r="H25" s="1" t="s">
        <v>198</v>
      </c>
      <c r="P25" s="193"/>
      <c r="W25" s="1" t="s">
        <v>683</v>
      </c>
      <c r="Y25" s="198"/>
      <c r="Z25" s="198"/>
      <c r="AB25" s="9">
        <f>IF(G25="",0,1)</f>
        <v>0</v>
      </c>
      <c r="AC25" t="s">
        <v>198</v>
      </c>
      <c r="AD25">
        <v>0</v>
      </c>
      <c r="AE25" s="197">
        <f>AB25*AD25</f>
        <v>0</v>
      </c>
      <c r="AG25" s="204">
        <v>3</v>
      </c>
      <c r="AI25" s="9">
        <f>+AB25</f>
        <v>0</v>
      </c>
      <c r="AJ25" t="s">
        <v>198</v>
      </c>
      <c r="AM25" s="9">
        <f>+$V$15</f>
        <v>0</v>
      </c>
      <c r="AN25" s="196" t="s">
        <v>673</v>
      </c>
      <c r="AO25" t="s">
        <v>573</v>
      </c>
      <c r="AZ25" t="e">
        <f t="shared" si="0"/>
        <v>#N/A</v>
      </c>
      <c r="BA25" t="b">
        <f t="shared" si="1"/>
        <v>1</v>
      </c>
      <c r="BD25" t="str">
        <f t="shared" si="3"/>
        <v>LB416CT533N3</v>
      </c>
      <c r="BE25" t="s">
        <v>774</v>
      </c>
      <c r="BF25" t="s">
        <v>775</v>
      </c>
      <c r="BG25" t="s">
        <v>674</v>
      </c>
      <c r="BH25" s="204" t="s">
        <v>544</v>
      </c>
      <c r="BI25" s="204" t="s">
        <v>554</v>
      </c>
      <c r="BJ25" s="204">
        <v>5</v>
      </c>
      <c r="BK25" s="204">
        <v>3</v>
      </c>
      <c r="BL25" s="204">
        <v>3</v>
      </c>
      <c r="BM25" s="204" t="s">
        <v>748</v>
      </c>
      <c r="BN25" s="204">
        <v>3</v>
      </c>
    </row>
    <row r="26" spans="2:73" x14ac:dyDescent="0.3">
      <c r="B26" s="211"/>
      <c r="C26" s="208" t="s">
        <v>684</v>
      </c>
      <c r="D26" t="s">
        <v>379</v>
      </c>
      <c r="E26" s="199">
        <f>IF(U26=1,Z26,Y26)</f>
        <v>1070</v>
      </c>
      <c r="F26" s="203" t="str">
        <f>IF(BA26=TRUE,CONCATENATE(O26,P26,Q26,R26,S26," Cstm"),CONCATENATE("Standard Item ",AZ26))</f>
        <v>LB554D Cstm</v>
      </c>
      <c r="G26" s="211" t="s">
        <v>1234</v>
      </c>
      <c r="H26" t="s">
        <v>692</v>
      </c>
      <c r="O26" s="70" t="str">
        <f>IF($AB$16=1,"LB554","LB550")</f>
        <v>LB554</v>
      </c>
      <c r="P26" s="193" t="str">
        <f>IF($AB$11=1,"T","")</f>
        <v/>
      </c>
      <c r="Q26" s="193" t="str">
        <f>IF($AB$26=1,"D","")</f>
        <v>D</v>
      </c>
      <c r="R26" s="193" t="str">
        <f>IF($AB$15=1,"WM","")</f>
        <v/>
      </c>
      <c r="S26" s="194"/>
      <c r="T26" s="193">
        <f>IF(ISNUMBER(B26)=TRUE,B26,1)</f>
        <v>1</v>
      </c>
      <c r="U26" s="193">
        <f>IF(B26="",0,1)</f>
        <v>0</v>
      </c>
      <c r="V26" s="9">
        <f>IF(B26="",0,T26)</f>
        <v>0</v>
      </c>
      <c r="W26" s="196" t="s">
        <v>684</v>
      </c>
      <c r="X26" t="s">
        <v>379</v>
      </c>
      <c r="Y26" s="197">
        <v>1070</v>
      </c>
      <c r="Z26" s="197">
        <f>IF(U26=1,V26*(Y26+$AE$36),0)</f>
        <v>0</v>
      </c>
      <c r="AB26" s="9">
        <f>IF(G26="",0,1)</f>
        <v>1</v>
      </c>
      <c r="AC26" t="s">
        <v>692</v>
      </c>
      <c r="AD26">
        <v>85</v>
      </c>
      <c r="AE26" s="197">
        <f>AB26*AD26</f>
        <v>85</v>
      </c>
      <c r="AF26" t="s">
        <v>705</v>
      </c>
      <c r="AG26" s="204" t="s">
        <v>705</v>
      </c>
      <c r="AI26" s="9">
        <f>+AB30</f>
        <v>0</v>
      </c>
      <c r="AJ26" t="s">
        <v>693</v>
      </c>
      <c r="AM26" s="9">
        <f>+$V$19</f>
        <v>0</v>
      </c>
      <c r="AN26" s="196" t="s">
        <v>677</v>
      </c>
      <c r="AO26" t="s">
        <v>573</v>
      </c>
      <c r="AQ26" s="194">
        <f>IF(AM22*AB17&gt;0,1,0)</f>
        <v>0</v>
      </c>
      <c r="AR26" s="206" t="s">
        <v>731</v>
      </c>
      <c r="AY26" t="str">
        <f>IF(U26=1,CONCATENATE(W26,$AF$39,$AG$39,$AH$39,$AI$39,$AJ$39,$AK$39,$AL$39),"")</f>
        <v/>
      </c>
      <c r="AZ26" t="e">
        <f t="shared" si="0"/>
        <v>#N/A</v>
      </c>
      <c r="BA26" t="b">
        <f t="shared" si="1"/>
        <v>1</v>
      </c>
      <c r="BD26" t="str">
        <f t="shared" si="3"/>
        <v>LB416CT633N3</v>
      </c>
      <c r="BE26" t="s">
        <v>776</v>
      </c>
      <c r="BF26" t="s">
        <v>767</v>
      </c>
      <c r="BG26" t="s">
        <v>674</v>
      </c>
      <c r="BH26" s="204" t="s">
        <v>544</v>
      </c>
      <c r="BI26" s="204" t="s">
        <v>554</v>
      </c>
      <c r="BJ26" s="204">
        <v>6</v>
      </c>
      <c r="BK26" s="204">
        <v>3</v>
      </c>
      <c r="BL26" s="204">
        <v>3</v>
      </c>
      <c r="BM26" s="204" t="s">
        <v>748</v>
      </c>
      <c r="BN26" s="204">
        <v>3</v>
      </c>
    </row>
    <row r="27" spans="2:73" x14ac:dyDescent="0.3">
      <c r="B27" s="211"/>
      <c r="C27" s="208" t="s">
        <v>815</v>
      </c>
      <c r="D27" t="s">
        <v>574</v>
      </c>
      <c r="E27" s="199">
        <f>IF(U27=1,Z27,Y27)</f>
        <v>1100</v>
      </c>
      <c r="F27" s="203" t="str">
        <f>IF(BA27=TRUE,CONCATENATE(O27,P27,Q27,R27,S27," Cstm"),CONCATENATE("Standard Item ",AZ27))</f>
        <v>LB556D Cstm</v>
      </c>
      <c r="O27" s="70" t="str">
        <f>IF($AB$16=1,"LB556","LB552")</f>
        <v>LB556</v>
      </c>
      <c r="P27" s="193" t="str">
        <f>IF($AB$11=1,"T","")</f>
        <v/>
      </c>
      <c r="Q27" s="193" t="str">
        <f>IF($AB$26=1,"D","")</f>
        <v>D</v>
      </c>
      <c r="R27" s="193" t="str">
        <f>IF($AB$15=1,"WM","")</f>
        <v/>
      </c>
      <c r="S27" s="194"/>
      <c r="T27" s="193">
        <f>IF(ISNUMBER(B27)=TRUE,B27,1)</f>
        <v>1</v>
      </c>
      <c r="U27" s="193">
        <f>IF(B27="",0,1)</f>
        <v>0</v>
      </c>
      <c r="V27" s="9">
        <f>IF(B27="",0,T27)</f>
        <v>0</v>
      </c>
      <c r="W27" s="196" t="s">
        <v>815</v>
      </c>
      <c r="X27" t="s">
        <v>574</v>
      </c>
      <c r="Y27" s="197">
        <v>1100</v>
      </c>
      <c r="Z27" s="197">
        <f>IF(U27=1,V27*(Y27+$AE$36),0)</f>
        <v>0</v>
      </c>
      <c r="AB27">
        <f>SUM(AB25:AB26)</f>
        <v>1</v>
      </c>
      <c r="AG27" s="204"/>
      <c r="AI27" s="194">
        <f>SUM(AI19:AI26)</f>
        <v>1</v>
      </c>
      <c r="AJ27" t="s">
        <v>717</v>
      </c>
      <c r="AM27">
        <f>SUM(AM25:AM26)</f>
        <v>0</v>
      </c>
      <c r="AQ27" s="194">
        <f>IF(SUM(AB14:AB16)*AM27&gt;0,1,0)</f>
        <v>0</v>
      </c>
      <c r="AR27" s="206" t="s">
        <v>732</v>
      </c>
      <c r="AY27" t="str">
        <f>IF(U27=1,CONCATENATE(W27,$AF$39,$AG$39,$AH$39,$AI$39,$AJ$39,$AK$39,$AL$39),"")</f>
        <v/>
      </c>
      <c r="AZ27" t="e">
        <f t="shared" si="0"/>
        <v>#N/A</v>
      </c>
      <c r="BA27" t="b">
        <f t="shared" si="1"/>
        <v>1</v>
      </c>
      <c r="BD27" t="str">
        <f t="shared" si="3"/>
        <v>LB416CI633N3</v>
      </c>
      <c r="BE27" t="s">
        <v>777</v>
      </c>
      <c r="BF27" t="s">
        <v>767</v>
      </c>
      <c r="BG27" t="s">
        <v>674</v>
      </c>
      <c r="BH27" s="204" t="s">
        <v>544</v>
      </c>
      <c r="BI27" s="204" t="s">
        <v>747</v>
      </c>
      <c r="BJ27" s="204">
        <v>6</v>
      </c>
      <c r="BK27" s="204">
        <v>3</v>
      </c>
      <c r="BL27" s="204">
        <v>3</v>
      </c>
      <c r="BM27" s="204" t="s">
        <v>748</v>
      </c>
      <c r="BN27" s="204">
        <v>3</v>
      </c>
    </row>
    <row r="28" spans="2:73" x14ac:dyDescent="0.3">
      <c r="B28" s="193"/>
      <c r="C28" s="1" t="s">
        <v>686</v>
      </c>
      <c r="E28" s="200"/>
      <c r="F28" s="203"/>
      <c r="G28" s="193" t="s">
        <v>17</v>
      </c>
      <c r="P28" s="193"/>
      <c r="W28" s="1" t="s">
        <v>686</v>
      </c>
      <c r="Y28" s="198"/>
      <c r="Z28" s="198"/>
      <c r="AB28" t="s">
        <v>17</v>
      </c>
      <c r="AG28" s="204"/>
      <c r="AI28" s="194"/>
      <c r="AN28" s="1"/>
      <c r="AQ28" s="194">
        <f>SUM(AQ26:AQ27)</f>
        <v>0</v>
      </c>
      <c r="AR28" s="206" t="s">
        <v>733</v>
      </c>
      <c r="AZ28" t="e">
        <f t="shared" si="0"/>
        <v>#N/A</v>
      </c>
      <c r="BA28" t="b">
        <f t="shared" si="1"/>
        <v>1</v>
      </c>
      <c r="BD28" t="str">
        <f t="shared" si="3"/>
        <v>LB417CI533N3</v>
      </c>
      <c r="BE28" t="s">
        <v>675</v>
      </c>
      <c r="BF28" t="s">
        <v>778</v>
      </c>
      <c r="BG28" t="s">
        <v>675</v>
      </c>
      <c r="BH28" s="204" t="s">
        <v>544</v>
      </c>
      <c r="BI28" s="204" t="s">
        <v>747</v>
      </c>
      <c r="BJ28" s="204">
        <v>5</v>
      </c>
      <c r="BK28" s="204">
        <v>3</v>
      </c>
      <c r="BL28" s="204">
        <v>3</v>
      </c>
      <c r="BM28" s="204" t="s">
        <v>748</v>
      </c>
      <c r="BN28" s="204">
        <v>3</v>
      </c>
    </row>
    <row r="29" spans="2:73" x14ac:dyDescent="0.3">
      <c r="B29" s="211"/>
      <c r="C29" s="208" t="s">
        <v>687</v>
      </c>
      <c r="D29" t="s">
        <v>379</v>
      </c>
      <c r="E29" s="199">
        <f>IF(U29=1,Z29,Y29)</f>
        <v>1125</v>
      </c>
      <c r="F29" s="203" t="str">
        <f>IF(BA29=TRUE,CONCATENATE(O29,P29,Q29,R29,S29," Cstm"),CONCATENATE("Standard Item ",AZ29))</f>
        <v>LB554KD Cstm</v>
      </c>
      <c r="G29" s="211" t="s">
        <v>1234</v>
      </c>
      <c r="H29" s="1" t="s">
        <v>743</v>
      </c>
      <c r="O29" s="70" t="str">
        <f>IF($AB$16=1,"LB554K","LB550K")</f>
        <v>LB554K</v>
      </c>
      <c r="P29" s="193" t="str">
        <f>IF($AB$11=1,"T","")</f>
        <v/>
      </c>
      <c r="Q29" s="193" t="str">
        <f>IF($AB$26=1,"D","")</f>
        <v>D</v>
      </c>
      <c r="R29" s="193" t="str">
        <f>IF($AB$15=1,"WM","")</f>
        <v/>
      </c>
      <c r="S29" s="194"/>
      <c r="T29" s="193">
        <f>IF(ISNUMBER(B29)=TRUE,B29,1)</f>
        <v>1</v>
      </c>
      <c r="U29" s="193">
        <f>IF(B29="",0,1)</f>
        <v>0</v>
      </c>
      <c r="V29" s="9">
        <f>IF(B29="",0,T29)</f>
        <v>0</v>
      </c>
      <c r="W29" s="196" t="s">
        <v>687</v>
      </c>
      <c r="X29" t="s">
        <v>379</v>
      </c>
      <c r="Y29" s="197">
        <v>1125</v>
      </c>
      <c r="Z29" s="197">
        <f>IF(U29=1,V29*(Y29+$AE$36),0)</f>
        <v>0</v>
      </c>
      <c r="AB29" s="9">
        <f>IF(G29="",0,1)</f>
        <v>1</v>
      </c>
      <c r="AC29" t="s">
        <v>701</v>
      </c>
      <c r="AD29">
        <v>0</v>
      </c>
      <c r="AE29" s="197">
        <f>AB29*AD29</f>
        <v>0</v>
      </c>
      <c r="AG29" s="204" t="s">
        <v>748</v>
      </c>
      <c r="AI29" s="156">
        <f>+AI17*AB7</f>
        <v>0</v>
      </c>
      <c r="AJ29" s="70" t="s">
        <v>718</v>
      </c>
      <c r="AK29" s="70"/>
      <c r="AY29" t="str">
        <f>IF(U29=1,CONCATENATE(W29,$AF$39,$AG$39,$AH$39,$AI$39,$AJ$39,$AK$39,$AL$39),"")</f>
        <v/>
      </c>
      <c r="AZ29" t="e">
        <f t="shared" si="0"/>
        <v>#N/A</v>
      </c>
      <c r="BA29" t="b">
        <f t="shared" si="1"/>
        <v>1</v>
      </c>
      <c r="BD29" t="str">
        <f t="shared" si="3"/>
        <v>LB417BT63DN3</v>
      </c>
      <c r="BE29" t="s">
        <v>779</v>
      </c>
      <c r="BF29" t="s">
        <v>780</v>
      </c>
      <c r="BG29" t="s">
        <v>675</v>
      </c>
      <c r="BH29" s="204" t="s">
        <v>565</v>
      </c>
      <c r="BI29" s="204" t="s">
        <v>554</v>
      </c>
      <c r="BJ29" s="204">
        <v>6</v>
      </c>
      <c r="BK29" s="204">
        <v>3</v>
      </c>
      <c r="BL29" s="204" t="s">
        <v>705</v>
      </c>
      <c r="BM29" s="204" t="s">
        <v>748</v>
      </c>
      <c r="BN29" s="204">
        <v>3</v>
      </c>
      <c r="BU29" s="209"/>
    </row>
    <row r="30" spans="2:73" x14ac:dyDescent="0.3">
      <c r="B30" s="211"/>
      <c r="C30" s="208" t="s">
        <v>688</v>
      </c>
      <c r="D30" t="s">
        <v>574</v>
      </c>
      <c r="E30" s="199">
        <f>IF(U30=1,Z30,Y30)</f>
        <v>1155</v>
      </c>
      <c r="F30" s="203" t="str">
        <f>IF(BA30=TRUE,CONCATENATE(O30,P30,Q30,R30,S30," Cstm"),CONCATENATE("Standard Item ",AZ30))</f>
        <v>LB556KD Cstm</v>
      </c>
      <c r="G30" s="211"/>
      <c r="H30" t="s">
        <v>693</v>
      </c>
      <c r="O30" s="70" t="str">
        <f>IF($AB$16=1,"LB556K","LB552K")</f>
        <v>LB556K</v>
      </c>
      <c r="P30" s="193" t="str">
        <f>IF($AB$11=1,"T","")</f>
        <v/>
      </c>
      <c r="Q30" s="193" t="str">
        <f>IF($AB$26=1,"D","")</f>
        <v>D</v>
      </c>
      <c r="R30" s="193" t="str">
        <f>IF($AB$15=1,"WM","")</f>
        <v/>
      </c>
      <c r="S30" s="194"/>
      <c r="T30" s="193">
        <f>IF(ISNUMBER(B30)=TRUE,B30,1)</f>
        <v>1</v>
      </c>
      <c r="U30" s="193">
        <f>IF(B30="",0,1)</f>
        <v>0</v>
      </c>
      <c r="V30" s="9">
        <f>IF(B30="",0,T30)</f>
        <v>0</v>
      </c>
      <c r="W30" s="196" t="s">
        <v>688</v>
      </c>
      <c r="X30" t="s">
        <v>574</v>
      </c>
      <c r="Y30" s="197">
        <v>1155</v>
      </c>
      <c r="Z30" s="197">
        <f>IF(U30=1,V30*(Y30+$AE$36),0)</f>
        <v>0</v>
      </c>
      <c r="AB30" s="9">
        <f>IF(G30="",0,1)</f>
        <v>0</v>
      </c>
      <c r="AC30" t="s">
        <v>693</v>
      </c>
      <c r="AD30">
        <v>25</v>
      </c>
      <c r="AE30" s="197">
        <f>AB30*AD30</f>
        <v>0</v>
      </c>
      <c r="AG30" s="204" t="s">
        <v>554</v>
      </c>
      <c r="AI30" s="156">
        <f>+AI27*AB7</f>
        <v>0</v>
      </c>
      <c r="AJ30" s="70" t="s">
        <v>719</v>
      </c>
      <c r="AM30" s="118" t="s">
        <v>723</v>
      </c>
      <c r="AN30" s="29"/>
      <c r="AO30" s="119"/>
      <c r="AQ30" s="118" t="s">
        <v>727</v>
      </c>
      <c r="AR30" s="29"/>
      <c r="AS30" s="29"/>
      <c r="AT30" s="119"/>
      <c r="AY30" t="str">
        <f>IF(U30=1,CONCATENATE(W30,$AF$39,$AG$39,$AH$39,$AI$39,$AJ$39,$AK$39,$AL$39),"")</f>
        <v/>
      </c>
      <c r="AZ30" t="e">
        <f t="shared" si="0"/>
        <v>#N/A</v>
      </c>
      <c r="BA30" t="b">
        <f t="shared" si="1"/>
        <v>1</v>
      </c>
      <c r="BD30" t="str">
        <f t="shared" si="3"/>
        <v>LB417KCI533N3</v>
      </c>
      <c r="BE30" t="s">
        <v>679</v>
      </c>
      <c r="BF30" t="s">
        <v>781</v>
      </c>
      <c r="BG30" t="s">
        <v>679</v>
      </c>
      <c r="BH30" s="204" t="s">
        <v>544</v>
      </c>
      <c r="BI30" s="204" t="s">
        <v>747</v>
      </c>
      <c r="BJ30" s="204">
        <v>5</v>
      </c>
      <c r="BK30" s="204">
        <v>3</v>
      </c>
      <c r="BL30" s="204">
        <v>3</v>
      </c>
      <c r="BM30" s="204" t="s">
        <v>748</v>
      </c>
      <c r="BN30" s="204">
        <v>3</v>
      </c>
    </row>
    <row r="31" spans="2:73" x14ac:dyDescent="0.3">
      <c r="B31" s="193"/>
      <c r="F31" s="203"/>
      <c r="P31" s="193"/>
      <c r="Y31" s="70"/>
      <c r="Z31" s="70"/>
      <c r="AB31">
        <f>SUM(AB29:AB30)</f>
        <v>1</v>
      </c>
      <c r="AG31" s="204"/>
      <c r="AI31" s="194">
        <f>SUM(AI29:AI30)</f>
        <v>0</v>
      </c>
      <c r="AJ31" t="s">
        <v>720</v>
      </c>
      <c r="AM31" s="120">
        <f>IF(AND(AM22&gt;0,AM27=0),1,0)</f>
        <v>1</v>
      </c>
      <c r="AN31" s="121" t="s">
        <v>690</v>
      </c>
      <c r="AO31" s="122"/>
      <c r="AQ31" s="120">
        <f>IF(AND(AQ14&gt;0,AQ24=0),1,0)</f>
        <v>1</v>
      </c>
      <c r="AR31" s="121" t="s">
        <v>265</v>
      </c>
      <c r="AS31" s="121"/>
      <c r="AT31" s="122"/>
      <c r="BD31" t="str">
        <f t="shared" si="3"/>
        <v>LB417KCI633N3</v>
      </c>
      <c r="BE31" t="s">
        <v>782</v>
      </c>
      <c r="BF31" t="s">
        <v>778</v>
      </c>
      <c r="BG31" t="s">
        <v>679</v>
      </c>
      <c r="BH31" s="204" t="s">
        <v>544</v>
      </c>
      <c r="BI31" s="204" t="s">
        <v>747</v>
      </c>
      <c r="BJ31" s="204">
        <v>6</v>
      </c>
      <c r="BK31" s="204">
        <v>3</v>
      </c>
      <c r="BL31" s="204">
        <v>3</v>
      </c>
      <c r="BM31" s="204" t="s">
        <v>748</v>
      </c>
      <c r="BN31" s="204">
        <v>3</v>
      </c>
      <c r="BU31" s="209"/>
    </row>
    <row r="32" spans="2:73" x14ac:dyDescent="0.3">
      <c r="B32" s="193"/>
      <c r="F32" s="203"/>
      <c r="G32" s="193" t="s">
        <v>23</v>
      </c>
      <c r="P32" s="193"/>
      <c r="Y32" s="201" t="s">
        <v>324</v>
      </c>
      <c r="Z32" s="202">
        <f>SUM(Z6:Z30)</f>
        <v>1365</v>
      </c>
      <c r="AB32" t="s">
        <v>23</v>
      </c>
      <c r="AG32" s="204"/>
      <c r="AM32" s="120">
        <f>IF(AND(AM27&gt;0,AM22=0),1,0)</f>
        <v>0</v>
      </c>
      <c r="AN32" s="121" t="s">
        <v>142</v>
      </c>
      <c r="AO32" s="122"/>
      <c r="AQ32" s="120">
        <f>IF(AND(AQ24&gt;0,AQ14=0),1,0)</f>
        <v>0</v>
      </c>
      <c r="AR32" s="121" t="s">
        <v>472</v>
      </c>
      <c r="AS32" s="121"/>
      <c r="AT32" s="122"/>
      <c r="BD32" t="str">
        <f t="shared" si="3"/>
        <v>LB417KCT533N3</v>
      </c>
      <c r="BE32" t="s">
        <v>783</v>
      </c>
      <c r="BF32" t="s">
        <v>784</v>
      </c>
      <c r="BG32" t="s">
        <v>679</v>
      </c>
      <c r="BH32" s="204" t="s">
        <v>544</v>
      </c>
      <c r="BI32" s="204" t="s">
        <v>554</v>
      </c>
      <c r="BJ32" s="204">
        <v>5</v>
      </c>
      <c r="BK32" s="204">
        <v>3</v>
      </c>
      <c r="BL32" s="204">
        <v>3</v>
      </c>
      <c r="BM32" s="204" t="s">
        <v>748</v>
      </c>
      <c r="BN32" s="204">
        <v>3</v>
      </c>
    </row>
    <row r="33" spans="7:73" x14ac:dyDescent="0.3">
      <c r="G33" s="211"/>
      <c r="H33" s="1" t="s">
        <v>696</v>
      </c>
      <c r="U33" s="193">
        <f>SUM(U6:U31)</f>
        <v>1</v>
      </c>
      <c r="Y33" s="70"/>
      <c r="Z33" s="70"/>
      <c r="AB33" s="9">
        <f>IF(G33="",0,1)</f>
        <v>0</v>
      </c>
      <c r="AC33" t="s">
        <v>696</v>
      </c>
      <c r="AD33">
        <v>0</v>
      </c>
      <c r="AE33" s="197">
        <f>AB33*AD33</f>
        <v>0</v>
      </c>
      <c r="AG33" s="204">
        <v>3</v>
      </c>
      <c r="AM33" s="120">
        <f>IF(AND(AM22&gt;0,AM27&gt;0),1,0)</f>
        <v>0</v>
      </c>
      <c r="AN33" s="121" t="s">
        <v>722</v>
      </c>
      <c r="AO33" s="122"/>
      <c r="AQ33" s="120">
        <f>IF(AND(AQ14&gt;0,AQ24&gt;0),1,0)</f>
        <v>0</v>
      </c>
      <c r="AR33" s="121" t="s">
        <v>726</v>
      </c>
      <c r="AS33" s="121"/>
      <c r="AT33" s="122"/>
      <c r="BD33" t="str">
        <f t="shared" si="3"/>
        <v>LB417KCT633N3</v>
      </c>
      <c r="BE33" t="s">
        <v>785</v>
      </c>
      <c r="BF33" t="s">
        <v>784</v>
      </c>
      <c r="BG33" t="s">
        <v>679</v>
      </c>
      <c r="BH33" s="204" t="s">
        <v>544</v>
      </c>
      <c r="BI33" s="204" t="s">
        <v>554</v>
      </c>
      <c r="BJ33" s="204">
        <v>6</v>
      </c>
      <c r="BK33" s="204">
        <v>3</v>
      </c>
      <c r="BL33" s="204">
        <v>3</v>
      </c>
      <c r="BM33" s="204" t="s">
        <v>748</v>
      </c>
      <c r="BN33" s="204">
        <v>3</v>
      </c>
      <c r="BU33" s="209"/>
    </row>
    <row r="34" spans="7:73" x14ac:dyDescent="0.3">
      <c r="G34" s="211"/>
      <c r="H34" t="s">
        <v>697</v>
      </c>
      <c r="AB34" s="9">
        <f>IF(G34="",0,1)</f>
        <v>0</v>
      </c>
      <c r="AC34" t="s">
        <v>697</v>
      </c>
      <c r="AD34">
        <v>0</v>
      </c>
      <c r="AE34" s="197">
        <f>AB34*AD34</f>
        <v>0</v>
      </c>
      <c r="AG34" s="204">
        <v>4</v>
      </c>
      <c r="AM34" s="120">
        <f>IF(AM22+AM27=0,1,0)</f>
        <v>0</v>
      </c>
      <c r="AN34" s="121" t="s">
        <v>690</v>
      </c>
      <c r="AO34" s="122"/>
      <c r="AQ34" s="120">
        <f>IF(AND(AQ14=0,AQ24=0),1,0)</f>
        <v>0</v>
      </c>
      <c r="AR34" s="121" t="s">
        <v>726</v>
      </c>
      <c r="AS34" s="121"/>
      <c r="AT34" s="122"/>
      <c r="BD34" t="str">
        <f t="shared" si="3"/>
        <v>LB417CI633N3</v>
      </c>
      <c r="BE34" t="s">
        <v>786</v>
      </c>
      <c r="BF34" t="s">
        <v>778</v>
      </c>
      <c r="BG34" t="s">
        <v>675</v>
      </c>
      <c r="BH34" s="204" t="s">
        <v>544</v>
      </c>
      <c r="BI34" s="204" t="s">
        <v>747</v>
      </c>
      <c r="BJ34" s="204">
        <v>6</v>
      </c>
      <c r="BK34" s="204">
        <v>3</v>
      </c>
      <c r="BL34" s="204">
        <v>3</v>
      </c>
      <c r="BM34" s="204" t="s">
        <v>748</v>
      </c>
      <c r="BN34" s="204">
        <v>3</v>
      </c>
      <c r="BU34" s="209"/>
    </row>
    <row r="35" spans="7:73" x14ac:dyDescent="0.3">
      <c r="AB35">
        <f>SUM(AB33:AB34)</f>
        <v>0</v>
      </c>
      <c r="AG35" s="204"/>
      <c r="AM35" s="125" t="s">
        <v>724</v>
      </c>
      <c r="AN35" s="32"/>
      <c r="AO35" s="126"/>
      <c r="AQ35" s="125" t="s">
        <v>730</v>
      </c>
      <c r="AR35" s="32"/>
      <c r="AS35" s="32"/>
      <c r="AT35" s="126"/>
      <c r="BD35" t="str">
        <f t="shared" si="3"/>
        <v>LB417CT533N3</v>
      </c>
      <c r="BE35" t="s">
        <v>787</v>
      </c>
      <c r="BF35" t="s">
        <v>788</v>
      </c>
      <c r="BG35" t="s">
        <v>675</v>
      </c>
      <c r="BH35" s="204" t="s">
        <v>544</v>
      </c>
      <c r="BI35" s="204" t="s">
        <v>554</v>
      </c>
      <c r="BJ35" s="204">
        <v>5</v>
      </c>
      <c r="BK35" s="204">
        <v>3</v>
      </c>
      <c r="BL35" s="204">
        <v>3</v>
      </c>
      <c r="BM35" s="204" t="s">
        <v>748</v>
      </c>
      <c r="BN35" s="204">
        <v>3</v>
      </c>
      <c r="BU35" s="209"/>
    </row>
    <row r="36" spans="7:73" x14ac:dyDescent="0.3">
      <c r="AD36" s="8" t="s">
        <v>702</v>
      </c>
      <c r="AE36" s="205">
        <f>SUM(AE6:AE34)</f>
        <v>355</v>
      </c>
      <c r="BD36" t="str">
        <f t="shared" si="3"/>
        <v>LB417CT633N3</v>
      </c>
      <c r="BE36" t="s">
        <v>789</v>
      </c>
      <c r="BF36" t="s">
        <v>788</v>
      </c>
      <c r="BG36" t="s">
        <v>675</v>
      </c>
      <c r="BH36" s="204" t="s">
        <v>544</v>
      </c>
      <c r="BI36" s="204" t="s">
        <v>554</v>
      </c>
      <c r="BJ36" s="204">
        <v>6</v>
      </c>
      <c r="BK36" s="204">
        <v>3</v>
      </c>
      <c r="BL36" s="204">
        <v>3</v>
      </c>
      <c r="BM36" s="204" t="s">
        <v>748</v>
      </c>
      <c r="BN36" s="204">
        <v>3</v>
      </c>
    </row>
    <row r="37" spans="7:73" x14ac:dyDescent="0.3">
      <c r="AF37" t="s">
        <v>751</v>
      </c>
      <c r="BD37" t="str">
        <f t="shared" si="3"/>
        <v>LB416CI773N3</v>
      </c>
      <c r="BE37" t="s">
        <v>790</v>
      </c>
      <c r="BF37" t="s">
        <v>791</v>
      </c>
      <c r="BG37" t="s">
        <v>674</v>
      </c>
      <c r="BH37" s="204" t="s">
        <v>544</v>
      </c>
      <c r="BI37" s="204" t="s">
        <v>747</v>
      </c>
      <c r="BJ37" s="204">
        <v>7</v>
      </c>
      <c r="BK37" s="204">
        <v>7</v>
      </c>
      <c r="BL37" s="204">
        <v>3</v>
      </c>
      <c r="BM37" s="204" t="s">
        <v>748</v>
      </c>
      <c r="BN37" s="204">
        <v>3</v>
      </c>
    </row>
    <row r="38" spans="7:73" x14ac:dyDescent="0.3">
      <c r="AF38" t="s">
        <v>706</v>
      </c>
      <c r="AG38" t="s">
        <v>6</v>
      </c>
      <c r="AH38" t="s">
        <v>18</v>
      </c>
      <c r="AI38" t="s">
        <v>19</v>
      </c>
      <c r="AJ38" t="s">
        <v>22</v>
      </c>
      <c r="AK38" t="s">
        <v>17</v>
      </c>
      <c r="AL38" t="s">
        <v>749</v>
      </c>
      <c r="BD38" t="str">
        <f t="shared" si="3"/>
        <v>LB416KCI773N3</v>
      </c>
      <c r="BE38" t="s">
        <v>792</v>
      </c>
      <c r="BF38" t="s">
        <v>793</v>
      </c>
      <c r="BG38" t="s">
        <v>678</v>
      </c>
      <c r="BH38" s="204" t="s">
        <v>544</v>
      </c>
      <c r="BI38" s="204" t="s">
        <v>747</v>
      </c>
      <c r="BJ38" s="204">
        <v>7</v>
      </c>
      <c r="BK38" s="204">
        <v>7</v>
      </c>
      <c r="BL38" s="204">
        <v>3</v>
      </c>
      <c r="BM38" s="204" t="s">
        <v>748</v>
      </c>
      <c r="BN38" s="204">
        <v>3</v>
      </c>
      <c r="BU38" s="209"/>
    </row>
    <row r="39" spans="7:73" x14ac:dyDescent="0.3">
      <c r="AF39" s="204" t="str">
        <f>IF(AB8=1,VLOOKUP(1,AB6:AG7,6,FALSE),"C")</f>
        <v>C</v>
      </c>
      <c r="AG39" s="204" t="str">
        <f>IF(AB12=1,VLOOKUP(1,AB10:AG11,6,FALSE),"I")</f>
        <v>I</v>
      </c>
      <c r="AH39" s="204">
        <f>IF(AB18=1,VLOOKUP(1,AB14:AG17,6,FALSE),IF(AM27&gt;0,8,5))</f>
        <v>7</v>
      </c>
      <c r="AI39" s="204">
        <f>IF(AB23=1,VLOOKUP(1,AB20:AG22,6,FALSE),IF(AB16=1,7,3))</f>
        <v>7</v>
      </c>
      <c r="AJ39" s="204" t="str">
        <f>IF(AB27=1,VLOOKUP(1,AB25:AG26,6,FALSE),IF(AB7=1,"D",3))</f>
        <v>D</v>
      </c>
      <c r="AK39" s="204" t="str">
        <f>IF(AB31=1,VLOOKUP(1,AB29:AG30,6,FALSE),"N")</f>
        <v>N</v>
      </c>
      <c r="AL39" s="204">
        <f>IF(AB35=1,VLOOKUP(1,AB33:AG34,6,FALSE),3)</f>
        <v>3</v>
      </c>
      <c r="BD39" t="str">
        <f t="shared" si="3"/>
        <v>LB416KCT773N3</v>
      </c>
      <c r="BE39" t="s">
        <v>794</v>
      </c>
      <c r="BF39" t="s">
        <v>791</v>
      </c>
      <c r="BG39" t="s">
        <v>678</v>
      </c>
      <c r="BH39" s="204" t="s">
        <v>544</v>
      </c>
      <c r="BI39" s="204" t="s">
        <v>554</v>
      </c>
      <c r="BJ39" s="204">
        <v>7</v>
      </c>
      <c r="BK39" s="204">
        <v>7</v>
      </c>
      <c r="BL39" s="204">
        <v>3</v>
      </c>
      <c r="BM39" s="204" t="s">
        <v>748</v>
      </c>
      <c r="BN39" s="204">
        <v>3</v>
      </c>
      <c r="BU39" s="209"/>
    </row>
    <row r="40" spans="7:73" x14ac:dyDescent="0.3">
      <c r="BD40" t="str">
        <f t="shared" si="3"/>
        <v>LB416CT773N3</v>
      </c>
      <c r="BE40" t="s">
        <v>795</v>
      </c>
      <c r="BF40" t="s">
        <v>791</v>
      </c>
      <c r="BG40" t="s">
        <v>674</v>
      </c>
      <c r="BH40" s="204" t="s">
        <v>544</v>
      </c>
      <c r="BI40" s="204" t="s">
        <v>554</v>
      </c>
      <c r="BJ40" s="204">
        <v>7</v>
      </c>
      <c r="BK40" s="204">
        <v>7</v>
      </c>
      <c r="BL40" s="204">
        <v>3</v>
      </c>
      <c r="BM40" s="204" t="s">
        <v>748</v>
      </c>
      <c r="BN40" s="204">
        <v>3</v>
      </c>
    </row>
    <row r="41" spans="7:73" x14ac:dyDescent="0.3">
      <c r="BD41" t="str">
        <f t="shared" si="3"/>
        <v>LB417CI773N3</v>
      </c>
      <c r="BE41" t="s">
        <v>796</v>
      </c>
      <c r="BF41" t="s">
        <v>797</v>
      </c>
      <c r="BG41" t="s">
        <v>675</v>
      </c>
      <c r="BH41" s="204" t="s">
        <v>544</v>
      </c>
      <c r="BI41" s="204" t="s">
        <v>747</v>
      </c>
      <c r="BJ41" s="204">
        <v>7</v>
      </c>
      <c r="BK41" s="204">
        <v>7</v>
      </c>
      <c r="BL41" s="204">
        <v>3</v>
      </c>
      <c r="BM41" s="204" t="s">
        <v>748</v>
      </c>
      <c r="BN41" s="204">
        <v>3</v>
      </c>
    </row>
    <row r="42" spans="7:73" x14ac:dyDescent="0.3">
      <c r="BD42" t="str">
        <f t="shared" si="3"/>
        <v>LB417KCI773N3</v>
      </c>
      <c r="BE42" t="s">
        <v>798</v>
      </c>
      <c r="BF42" t="s">
        <v>799</v>
      </c>
      <c r="BG42" t="s">
        <v>679</v>
      </c>
      <c r="BH42" s="204" t="s">
        <v>544</v>
      </c>
      <c r="BI42" s="204" t="s">
        <v>747</v>
      </c>
      <c r="BJ42" s="204">
        <v>7</v>
      </c>
      <c r="BK42" s="204">
        <v>7</v>
      </c>
      <c r="BL42" s="204">
        <v>3</v>
      </c>
      <c r="BM42" s="204" t="s">
        <v>748</v>
      </c>
      <c r="BN42" s="204">
        <v>3</v>
      </c>
      <c r="BU42" s="209"/>
    </row>
    <row r="43" spans="7:73" x14ac:dyDescent="0.3">
      <c r="BD43" t="str">
        <f t="shared" si="3"/>
        <v>LB417KCT773N3</v>
      </c>
      <c r="BE43" t="s">
        <v>800</v>
      </c>
      <c r="BF43" t="s">
        <v>797</v>
      </c>
      <c r="BG43" t="s">
        <v>679</v>
      </c>
      <c r="BH43" s="204" t="s">
        <v>544</v>
      </c>
      <c r="BI43" s="204" t="s">
        <v>554</v>
      </c>
      <c r="BJ43" s="204">
        <v>7</v>
      </c>
      <c r="BK43" s="204">
        <v>7</v>
      </c>
      <c r="BL43" s="204">
        <v>3</v>
      </c>
      <c r="BM43" s="204" t="s">
        <v>748</v>
      </c>
      <c r="BN43" s="204">
        <v>3</v>
      </c>
    </row>
    <row r="44" spans="7:73" x14ac:dyDescent="0.3">
      <c r="BD44" t="str">
        <f t="shared" si="3"/>
        <v>LB417CT773N3</v>
      </c>
      <c r="BE44" t="s">
        <v>801</v>
      </c>
      <c r="BF44" t="s">
        <v>797</v>
      </c>
      <c r="BG44" t="s">
        <v>675</v>
      </c>
      <c r="BH44" s="204" t="s">
        <v>544</v>
      </c>
      <c r="BI44" s="204" t="s">
        <v>554</v>
      </c>
      <c r="BJ44" s="204">
        <v>7</v>
      </c>
      <c r="BK44" s="204">
        <v>7</v>
      </c>
      <c r="BL44" s="204">
        <v>3</v>
      </c>
      <c r="BM44" s="204" t="s">
        <v>748</v>
      </c>
      <c r="BN44" s="204">
        <v>3</v>
      </c>
      <c r="BU44" s="209"/>
    </row>
    <row r="45" spans="7:73" x14ac:dyDescent="0.3">
      <c r="BD45" t="str">
        <f t="shared" si="3"/>
        <v>LB420KCT533N3</v>
      </c>
      <c r="BE45" t="s">
        <v>802</v>
      </c>
      <c r="BF45" t="s">
        <v>803</v>
      </c>
      <c r="BG45" t="s">
        <v>681</v>
      </c>
      <c r="BH45" s="204" t="s">
        <v>544</v>
      </c>
      <c r="BI45" s="204" t="s">
        <v>554</v>
      </c>
      <c r="BJ45" s="204">
        <v>5</v>
      </c>
      <c r="BK45" s="204">
        <v>3</v>
      </c>
      <c r="BL45" s="204">
        <v>3</v>
      </c>
      <c r="BM45" s="204" t="s">
        <v>748</v>
      </c>
      <c r="BN45" s="204">
        <v>3</v>
      </c>
    </row>
    <row r="46" spans="7:73" x14ac:dyDescent="0.3">
      <c r="BD46" t="str">
        <f t="shared" si="3"/>
        <v>LB422KCT533N3</v>
      </c>
      <c r="BE46" t="s">
        <v>804</v>
      </c>
      <c r="BF46" t="s">
        <v>805</v>
      </c>
      <c r="BG46" t="s">
        <v>682</v>
      </c>
      <c r="BH46" s="204" t="s">
        <v>544</v>
      </c>
      <c r="BI46" s="204" t="s">
        <v>554</v>
      </c>
      <c r="BJ46" s="204">
        <v>5</v>
      </c>
      <c r="BK46" s="204">
        <v>3</v>
      </c>
      <c r="BL46" s="204">
        <v>3</v>
      </c>
      <c r="BM46" s="204" t="s">
        <v>748</v>
      </c>
      <c r="BN46" s="204">
        <v>3</v>
      </c>
    </row>
    <row r="47" spans="7:73" x14ac:dyDescent="0.3">
      <c r="BD47" t="str">
        <f t="shared" si="3"/>
        <v>LB550CI533N3</v>
      </c>
      <c r="BE47" t="s">
        <v>684</v>
      </c>
      <c r="BF47" t="s">
        <v>806</v>
      </c>
      <c r="BG47" t="s">
        <v>684</v>
      </c>
      <c r="BH47" s="204" t="s">
        <v>544</v>
      </c>
      <c r="BI47" s="204" t="s">
        <v>747</v>
      </c>
      <c r="BJ47" s="204">
        <v>5</v>
      </c>
      <c r="BK47" s="204">
        <v>3</v>
      </c>
      <c r="BL47" s="204">
        <v>3</v>
      </c>
      <c r="BM47" s="204" t="s">
        <v>748</v>
      </c>
      <c r="BN47" s="204">
        <v>3</v>
      </c>
      <c r="BU47" s="209"/>
    </row>
    <row r="48" spans="7:73" x14ac:dyDescent="0.3">
      <c r="BD48" t="str">
        <f t="shared" si="3"/>
        <v>LB550KCI533N3</v>
      </c>
      <c r="BE48" t="s">
        <v>687</v>
      </c>
      <c r="BF48" t="s">
        <v>807</v>
      </c>
      <c r="BG48" t="s">
        <v>687</v>
      </c>
      <c r="BH48" s="204" t="s">
        <v>544</v>
      </c>
      <c r="BI48" s="204" t="s">
        <v>747</v>
      </c>
      <c r="BJ48" s="204">
        <v>5</v>
      </c>
      <c r="BK48" s="204">
        <v>3</v>
      </c>
      <c r="BL48" s="204">
        <v>3</v>
      </c>
      <c r="BM48" s="204" t="s">
        <v>748</v>
      </c>
      <c r="BN48" s="204">
        <v>3</v>
      </c>
      <c r="BU48" s="209"/>
    </row>
    <row r="49" spans="56:73" x14ac:dyDescent="0.3">
      <c r="BD49" t="str">
        <f t="shared" si="3"/>
        <v>LB550KCT533N3</v>
      </c>
      <c r="BE49" t="s">
        <v>808</v>
      </c>
      <c r="BF49" t="s">
        <v>806</v>
      </c>
      <c r="BG49" t="s">
        <v>687</v>
      </c>
      <c r="BH49" s="204" t="s">
        <v>544</v>
      </c>
      <c r="BI49" s="204" t="s">
        <v>554</v>
      </c>
      <c r="BJ49" s="204">
        <v>5</v>
      </c>
      <c r="BK49" s="204">
        <v>3</v>
      </c>
      <c r="BL49" s="204">
        <v>3</v>
      </c>
      <c r="BM49" s="204" t="s">
        <v>748</v>
      </c>
      <c r="BN49" s="204">
        <v>3</v>
      </c>
    </row>
    <row r="50" spans="56:73" x14ac:dyDescent="0.3">
      <c r="BD50" t="str">
        <f t="shared" si="3"/>
        <v>LB550KCT633N3</v>
      </c>
      <c r="BE50" t="s">
        <v>809</v>
      </c>
      <c r="BF50" t="s">
        <v>806</v>
      </c>
      <c r="BG50" t="s">
        <v>687</v>
      </c>
      <c r="BH50" s="204" t="s">
        <v>544</v>
      </c>
      <c r="BI50" s="204" t="s">
        <v>554</v>
      </c>
      <c r="BJ50" s="204">
        <v>6</v>
      </c>
      <c r="BK50" s="204">
        <v>3</v>
      </c>
      <c r="BL50" s="204">
        <v>3</v>
      </c>
      <c r="BM50" s="204" t="s">
        <v>748</v>
      </c>
      <c r="BN50" s="204">
        <v>3</v>
      </c>
      <c r="BU50" s="209"/>
    </row>
    <row r="51" spans="56:73" x14ac:dyDescent="0.3">
      <c r="BD51" t="str">
        <f t="shared" si="3"/>
        <v>LB550KCI633N3</v>
      </c>
      <c r="BE51" t="s">
        <v>810</v>
      </c>
      <c r="BF51" t="s">
        <v>807</v>
      </c>
      <c r="BG51" t="s">
        <v>687</v>
      </c>
      <c r="BH51" s="204" t="s">
        <v>544</v>
      </c>
      <c r="BI51" s="204" t="s">
        <v>747</v>
      </c>
      <c r="BJ51" s="204">
        <v>6</v>
      </c>
      <c r="BK51" s="204">
        <v>3</v>
      </c>
      <c r="BL51" s="204">
        <v>3</v>
      </c>
      <c r="BM51" s="204" t="s">
        <v>748</v>
      </c>
      <c r="BN51" s="204">
        <v>3</v>
      </c>
      <c r="BU51" s="209"/>
    </row>
    <row r="52" spans="56:73" x14ac:dyDescent="0.3">
      <c r="BD52" t="str">
        <f t="shared" si="3"/>
        <v>LB550CT533N3</v>
      </c>
      <c r="BE52" t="s">
        <v>811</v>
      </c>
      <c r="BF52" t="s">
        <v>812</v>
      </c>
      <c r="BG52" t="s">
        <v>684</v>
      </c>
      <c r="BH52" s="204" t="s">
        <v>544</v>
      </c>
      <c r="BI52" s="204" t="s">
        <v>554</v>
      </c>
      <c r="BJ52" s="204">
        <v>5</v>
      </c>
      <c r="BK52" s="204">
        <v>3</v>
      </c>
      <c r="BL52" s="204">
        <v>3</v>
      </c>
      <c r="BM52" s="204" t="s">
        <v>748</v>
      </c>
      <c r="BN52" s="204">
        <v>3</v>
      </c>
    </row>
    <row r="53" spans="56:73" x14ac:dyDescent="0.3">
      <c r="BD53" t="str">
        <f t="shared" si="3"/>
        <v>LB550CT633N3</v>
      </c>
      <c r="BE53" t="s">
        <v>813</v>
      </c>
      <c r="BF53" t="s">
        <v>812</v>
      </c>
      <c r="BG53" t="s">
        <v>684</v>
      </c>
      <c r="BH53" s="204" t="s">
        <v>544</v>
      </c>
      <c r="BI53" s="204" t="s">
        <v>554</v>
      </c>
      <c r="BJ53" s="204">
        <v>6</v>
      </c>
      <c r="BK53" s="204">
        <v>3</v>
      </c>
      <c r="BL53" s="204">
        <v>3</v>
      </c>
      <c r="BM53" s="204" t="s">
        <v>748</v>
      </c>
      <c r="BN53" s="204">
        <v>3</v>
      </c>
      <c r="BU53" s="209"/>
    </row>
    <row r="54" spans="56:73" x14ac:dyDescent="0.3">
      <c r="BD54" t="str">
        <f t="shared" si="3"/>
        <v>LB550CI633N3</v>
      </c>
      <c r="BE54" t="s">
        <v>814</v>
      </c>
      <c r="BF54" t="s">
        <v>806</v>
      </c>
      <c r="BG54" t="s">
        <v>684</v>
      </c>
      <c r="BH54" s="204" t="s">
        <v>544</v>
      </c>
      <c r="BI54" s="204" t="s">
        <v>747</v>
      </c>
      <c r="BJ54" s="204">
        <v>6</v>
      </c>
      <c r="BK54" s="204">
        <v>3</v>
      </c>
      <c r="BL54" s="204">
        <v>3</v>
      </c>
      <c r="BM54" s="204" t="s">
        <v>748</v>
      </c>
      <c r="BN54" s="204">
        <v>3</v>
      </c>
    </row>
    <row r="55" spans="56:73" x14ac:dyDescent="0.3">
      <c r="BD55" t="str">
        <f t="shared" si="3"/>
        <v>LB552CI533N3</v>
      </c>
      <c r="BE55" t="s">
        <v>815</v>
      </c>
      <c r="BF55" t="s">
        <v>816</v>
      </c>
      <c r="BG55" t="s">
        <v>815</v>
      </c>
      <c r="BH55" s="204" t="s">
        <v>544</v>
      </c>
      <c r="BI55" s="204" t="s">
        <v>747</v>
      </c>
      <c r="BJ55" s="204">
        <v>5</v>
      </c>
      <c r="BK55" s="204">
        <v>3</v>
      </c>
      <c r="BL55" s="204">
        <v>3</v>
      </c>
      <c r="BM55" s="204" t="s">
        <v>748</v>
      </c>
      <c r="BN55" s="204">
        <v>3</v>
      </c>
      <c r="BU55" s="209"/>
    </row>
    <row r="56" spans="56:73" x14ac:dyDescent="0.3">
      <c r="BD56" t="str">
        <f t="shared" si="3"/>
        <v>LB552KCI533N3</v>
      </c>
      <c r="BE56" t="s">
        <v>688</v>
      </c>
      <c r="BF56" t="s">
        <v>817</v>
      </c>
      <c r="BG56" t="s">
        <v>688</v>
      </c>
      <c r="BH56" s="204" t="s">
        <v>544</v>
      </c>
      <c r="BI56" s="204" t="s">
        <v>747</v>
      </c>
      <c r="BJ56" s="204">
        <v>5</v>
      </c>
      <c r="BK56" s="204">
        <v>3</v>
      </c>
      <c r="BL56" s="204">
        <v>3</v>
      </c>
      <c r="BM56" s="204" t="s">
        <v>748</v>
      </c>
      <c r="BN56" s="204">
        <v>3</v>
      </c>
    </row>
    <row r="57" spans="56:73" x14ac:dyDescent="0.3">
      <c r="BD57" t="str">
        <f t="shared" si="3"/>
        <v>LB552KCT533N3</v>
      </c>
      <c r="BE57" t="s">
        <v>818</v>
      </c>
      <c r="BF57" t="s">
        <v>816</v>
      </c>
      <c r="BG57" t="s">
        <v>688</v>
      </c>
      <c r="BH57" s="204" t="s">
        <v>544</v>
      </c>
      <c r="BI57" s="204" t="s">
        <v>554</v>
      </c>
      <c r="BJ57" s="204">
        <v>5</v>
      </c>
      <c r="BK57" s="204">
        <v>3</v>
      </c>
      <c r="BL57" s="204">
        <v>3</v>
      </c>
      <c r="BM57" s="204" t="s">
        <v>748</v>
      </c>
      <c r="BN57" s="204">
        <v>3</v>
      </c>
    </row>
    <row r="58" spans="56:73" x14ac:dyDescent="0.3">
      <c r="BD58" t="str">
        <f t="shared" si="3"/>
        <v>LB552KCT633N3</v>
      </c>
      <c r="BE58" t="s">
        <v>819</v>
      </c>
      <c r="BF58" t="s">
        <v>816</v>
      </c>
      <c r="BG58" t="s">
        <v>688</v>
      </c>
      <c r="BH58" s="204" t="s">
        <v>544</v>
      </c>
      <c r="BI58" s="204" t="s">
        <v>554</v>
      </c>
      <c r="BJ58" s="204">
        <v>6</v>
      </c>
      <c r="BK58" s="204">
        <v>3</v>
      </c>
      <c r="BL58" s="204">
        <v>3</v>
      </c>
      <c r="BM58" s="204" t="s">
        <v>748</v>
      </c>
      <c r="BN58" s="204">
        <v>3</v>
      </c>
    </row>
    <row r="59" spans="56:73" x14ac:dyDescent="0.3">
      <c r="BD59" t="str">
        <f t="shared" si="3"/>
        <v>LB552KCI633N3</v>
      </c>
      <c r="BE59" t="s">
        <v>820</v>
      </c>
      <c r="BF59" t="s">
        <v>817</v>
      </c>
      <c r="BG59" t="s">
        <v>688</v>
      </c>
      <c r="BH59" s="204" t="s">
        <v>544</v>
      </c>
      <c r="BI59" s="204" t="s">
        <v>747</v>
      </c>
      <c r="BJ59" s="204">
        <v>6</v>
      </c>
      <c r="BK59" s="204">
        <v>3</v>
      </c>
      <c r="BL59" s="204">
        <v>3</v>
      </c>
      <c r="BM59" s="204" t="s">
        <v>748</v>
      </c>
      <c r="BN59" s="204">
        <v>3</v>
      </c>
      <c r="BU59" s="209"/>
    </row>
    <row r="60" spans="56:73" x14ac:dyDescent="0.3">
      <c r="BD60" t="str">
        <f t="shared" si="3"/>
        <v>LB552CT533N3</v>
      </c>
      <c r="BE60" t="s">
        <v>821</v>
      </c>
      <c r="BF60" t="s">
        <v>822</v>
      </c>
      <c r="BG60" t="s">
        <v>815</v>
      </c>
      <c r="BH60" s="204" t="s">
        <v>544</v>
      </c>
      <c r="BI60" s="204" t="s">
        <v>554</v>
      </c>
      <c r="BJ60" s="204">
        <v>5</v>
      </c>
      <c r="BK60" s="204">
        <v>3</v>
      </c>
      <c r="BL60" s="204">
        <v>3</v>
      </c>
      <c r="BM60" s="204" t="s">
        <v>748</v>
      </c>
      <c r="BN60" s="204">
        <v>3</v>
      </c>
      <c r="BU60" s="209"/>
    </row>
    <row r="61" spans="56:73" x14ac:dyDescent="0.3">
      <c r="BD61" t="str">
        <f t="shared" si="3"/>
        <v>LB552CT633N3</v>
      </c>
      <c r="BE61" t="s">
        <v>823</v>
      </c>
      <c r="BF61" t="s">
        <v>822</v>
      </c>
      <c r="BG61" t="s">
        <v>815</v>
      </c>
      <c r="BH61" s="204" t="s">
        <v>544</v>
      </c>
      <c r="BI61" s="204" t="s">
        <v>554</v>
      </c>
      <c r="BJ61" s="204">
        <v>6</v>
      </c>
      <c r="BK61" s="204">
        <v>3</v>
      </c>
      <c r="BL61" s="204">
        <v>3</v>
      </c>
      <c r="BM61" s="204" t="s">
        <v>748</v>
      </c>
      <c r="BN61" s="204">
        <v>3</v>
      </c>
      <c r="BU61" s="209"/>
    </row>
    <row r="62" spans="56:73" x14ac:dyDescent="0.3">
      <c r="BD62" t="str">
        <f t="shared" si="3"/>
        <v>LB552CI633N3</v>
      </c>
      <c r="BE62" t="s">
        <v>824</v>
      </c>
      <c r="BF62" t="s">
        <v>816</v>
      </c>
      <c r="BG62" t="s">
        <v>815</v>
      </c>
      <c r="BH62" s="204" t="s">
        <v>544</v>
      </c>
      <c r="BI62" s="204" t="s">
        <v>747</v>
      </c>
      <c r="BJ62" s="204">
        <v>6</v>
      </c>
      <c r="BK62" s="204">
        <v>3</v>
      </c>
      <c r="BL62" s="204">
        <v>3</v>
      </c>
      <c r="BM62" s="204" t="s">
        <v>748</v>
      </c>
      <c r="BN62" s="204">
        <v>3</v>
      </c>
      <c r="BU62" s="209"/>
    </row>
    <row r="63" spans="56:73" x14ac:dyDescent="0.3">
      <c r="BD63" t="str">
        <f t="shared" si="3"/>
        <v>LB553BCI833N3</v>
      </c>
      <c r="BE63" t="s">
        <v>673</v>
      </c>
      <c r="BF63" t="s">
        <v>825</v>
      </c>
      <c r="BG63" t="s">
        <v>673</v>
      </c>
      <c r="BH63" s="204" t="s">
        <v>544</v>
      </c>
      <c r="BI63" s="204" t="s">
        <v>747</v>
      </c>
      <c r="BJ63" s="204">
        <v>8</v>
      </c>
      <c r="BK63" s="204">
        <v>3</v>
      </c>
      <c r="BL63" s="204">
        <v>3</v>
      </c>
      <c r="BM63" s="204" t="s">
        <v>748</v>
      </c>
      <c r="BN63" s="204">
        <v>3</v>
      </c>
      <c r="BU63" s="209"/>
    </row>
    <row r="64" spans="56:73" x14ac:dyDescent="0.3">
      <c r="BD64" t="str">
        <f t="shared" si="3"/>
        <v>LB553BKCI833N3</v>
      </c>
      <c r="BE64" t="s">
        <v>677</v>
      </c>
      <c r="BF64" t="s">
        <v>826</v>
      </c>
      <c r="BG64" t="s">
        <v>677</v>
      </c>
      <c r="BH64" s="204" t="s">
        <v>544</v>
      </c>
      <c r="BI64" s="204" t="s">
        <v>747</v>
      </c>
      <c r="BJ64" s="204">
        <v>8</v>
      </c>
      <c r="BK64" s="204">
        <v>3</v>
      </c>
      <c r="BL64" s="204">
        <v>3</v>
      </c>
      <c r="BM64" s="204" t="s">
        <v>748</v>
      </c>
      <c r="BN64" s="204">
        <v>3</v>
      </c>
      <c r="BU64" s="209"/>
    </row>
    <row r="65" spans="56:73" x14ac:dyDescent="0.3">
      <c r="BD65" t="str">
        <f t="shared" si="3"/>
        <v>LB553BCT833N3</v>
      </c>
      <c r="BE65" t="s">
        <v>827</v>
      </c>
      <c r="BF65" t="s">
        <v>828</v>
      </c>
      <c r="BG65" t="s">
        <v>673</v>
      </c>
      <c r="BH65" s="204" t="s">
        <v>544</v>
      </c>
      <c r="BI65" s="204" t="s">
        <v>554</v>
      </c>
      <c r="BJ65" s="204">
        <v>8</v>
      </c>
      <c r="BK65" s="204">
        <v>3</v>
      </c>
      <c r="BL65" s="204">
        <v>3</v>
      </c>
      <c r="BM65" s="204" t="s">
        <v>748</v>
      </c>
      <c r="BN65" s="204">
        <v>3</v>
      </c>
      <c r="BU65" s="209"/>
    </row>
    <row r="66" spans="56:73" x14ac:dyDescent="0.3">
      <c r="BD66" t="str">
        <f t="shared" si="3"/>
        <v>LB550CI773N3</v>
      </c>
      <c r="BE66" t="s">
        <v>829</v>
      </c>
      <c r="BF66" t="s">
        <v>830</v>
      </c>
      <c r="BG66" t="s">
        <v>684</v>
      </c>
      <c r="BH66" s="204" t="s">
        <v>544</v>
      </c>
      <c r="BI66" s="204" t="s">
        <v>747</v>
      </c>
      <c r="BJ66" s="204">
        <v>7</v>
      </c>
      <c r="BK66" s="204">
        <v>7</v>
      </c>
      <c r="BL66" s="204">
        <v>3</v>
      </c>
      <c r="BM66" s="204" t="s">
        <v>748</v>
      </c>
      <c r="BN66" s="204">
        <v>3</v>
      </c>
      <c r="BU66" s="209"/>
    </row>
    <row r="67" spans="56:73" x14ac:dyDescent="0.3">
      <c r="BD67" t="str">
        <f t="shared" si="3"/>
        <v>LB550KCI773N3</v>
      </c>
      <c r="BE67" t="s">
        <v>831</v>
      </c>
      <c r="BF67" t="s">
        <v>832</v>
      </c>
      <c r="BG67" t="s">
        <v>687</v>
      </c>
      <c r="BH67" s="204" t="s">
        <v>544</v>
      </c>
      <c r="BI67" s="204" t="s">
        <v>747</v>
      </c>
      <c r="BJ67" s="204">
        <v>7</v>
      </c>
      <c r="BK67" s="204">
        <v>7</v>
      </c>
      <c r="BL67" s="204">
        <v>3</v>
      </c>
      <c r="BM67" s="204" t="s">
        <v>748</v>
      </c>
      <c r="BN67" s="204">
        <v>3</v>
      </c>
      <c r="BU67" s="209"/>
    </row>
    <row r="68" spans="56:73" x14ac:dyDescent="0.3">
      <c r="BD68" t="str">
        <f t="shared" si="3"/>
        <v>LB550CT773N3</v>
      </c>
      <c r="BE68" t="s">
        <v>833</v>
      </c>
      <c r="BF68" t="s">
        <v>834</v>
      </c>
      <c r="BG68" t="s">
        <v>684</v>
      </c>
      <c r="BH68" s="204" t="s">
        <v>544</v>
      </c>
      <c r="BI68" s="204" t="s">
        <v>554</v>
      </c>
      <c r="BJ68" s="204">
        <v>7</v>
      </c>
      <c r="BK68" s="204">
        <v>7</v>
      </c>
      <c r="BL68" s="204">
        <v>3</v>
      </c>
      <c r="BM68" s="204" t="s">
        <v>748</v>
      </c>
      <c r="BN68" s="204">
        <v>3</v>
      </c>
      <c r="BU68" s="209"/>
    </row>
    <row r="69" spans="56:73" x14ac:dyDescent="0.3">
      <c r="BD69" t="str">
        <f t="shared" si="3"/>
        <v>LB550CT773N3</v>
      </c>
      <c r="BE69" t="s">
        <v>835</v>
      </c>
      <c r="BF69" t="s">
        <v>836</v>
      </c>
      <c r="BG69" t="s">
        <v>684</v>
      </c>
      <c r="BH69" s="204" t="s">
        <v>544</v>
      </c>
      <c r="BI69" s="204" t="s">
        <v>554</v>
      </c>
      <c r="BJ69" s="204">
        <v>7</v>
      </c>
      <c r="BK69" s="204">
        <v>7</v>
      </c>
      <c r="BL69" s="204">
        <v>3</v>
      </c>
      <c r="BM69" s="204" t="s">
        <v>748</v>
      </c>
      <c r="BN69" s="204">
        <v>3</v>
      </c>
      <c r="BU69" s="209"/>
    </row>
    <row r="70" spans="56:73" x14ac:dyDescent="0.3">
      <c r="BD70" t="str">
        <f t="shared" si="3"/>
        <v>LB552CI773N3</v>
      </c>
      <c r="BE70" t="s">
        <v>837</v>
      </c>
      <c r="BF70" t="s">
        <v>838</v>
      </c>
      <c r="BG70" t="s">
        <v>815</v>
      </c>
      <c r="BH70" s="204" t="s">
        <v>544</v>
      </c>
      <c r="BI70" s="204" t="s">
        <v>747</v>
      </c>
      <c r="BJ70" s="204">
        <v>7</v>
      </c>
      <c r="BK70" s="204">
        <v>7</v>
      </c>
      <c r="BL70" s="204">
        <v>3</v>
      </c>
      <c r="BM70" s="204" t="s">
        <v>748</v>
      </c>
      <c r="BN70" s="204">
        <v>3</v>
      </c>
      <c r="BU70" s="209"/>
    </row>
    <row r="71" spans="56:73" x14ac:dyDescent="0.3">
      <c r="BD71" t="str">
        <f t="shared" si="3"/>
        <v>LB552KCI773N3</v>
      </c>
      <c r="BE71" t="s">
        <v>839</v>
      </c>
      <c r="BF71" t="s">
        <v>840</v>
      </c>
      <c r="BG71" t="s">
        <v>688</v>
      </c>
      <c r="BH71" s="204" t="s">
        <v>544</v>
      </c>
      <c r="BI71" s="204" t="s">
        <v>747</v>
      </c>
      <c r="BJ71" s="204">
        <v>7</v>
      </c>
      <c r="BK71" s="204">
        <v>7</v>
      </c>
      <c r="BL71" s="204">
        <v>3</v>
      </c>
      <c r="BM71" s="204" t="s">
        <v>748</v>
      </c>
      <c r="BN71" s="204">
        <v>3</v>
      </c>
      <c r="BU71" s="209"/>
    </row>
    <row r="72" spans="56:73" x14ac:dyDescent="0.3">
      <c r="BD72" t="str">
        <f t="shared" si="3"/>
        <v>LB552KCT773N3</v>
      </c>
      <c r="BE72" t="s">
        <v>841</v>
      </c>
      <c r="BF72" t="s">
        <v>842</v>
      </c>
      <c r="BG72" t="s">
        <v>688</v>
      </c>
      <c r="BH72" s="204" t="s">
        <v>544</v>
      </c>
      <c r="BI72" s="204" t="s">
        <v>554</v>
      </c>
      <c r="BJ72" s="204">
        <v>7</v>
      </c>
      <c r="BK72" s="204">
        <v>7</v>
      </c>
      <c r="BL72" s="204">
        <v>3</v>
      </c>
      <c r="BM72" s="204" t="s">
        <v>748</v>
      </c>
      <c r="BN72" s="204">
        <v>3</v>
      </c>
      <c r="BU72" s="209"/>
    </row>
    <row r="73" spans="56:73" x14ac:dyDescent="0.3">
      <c r="BD73" t="str">
        <f t="shared" si="3"/>
        <v>LB552CT773N3</v>
      </c>
      <c r="BE73" t="s">
        <v>843</v>
      </c>
      <c r="BF73" t="s">
        <v>844</v>
      </c>
      <c r="BG73" t="s">
        <v>815</v>
      </c>
      <c r="BH73" s="204" t="s">
        <v>544</v>
      </c>
      <c r="BI73" s="204" t="s">
        <v>554</v>
      </c>
      <c r="BJ73" s="204">
        <v>7</v>
      </c>
      <c r="BK73" s="204">
        <v>7</v>
      </c>
      <c r="BL73" s="204">
        <v>3</v>
      </c>
      <c r="BM73" s="204" t="s">
        <v>748</v>
      </c>
      <c r="BN73" s="204">
        <v>3</v>
      </c>
      <c r="BU73" s="209"/>
    </row>
    <row r="74" spans="56:73" x14ac:dyDescent="0.3">
      <c r="BD74" t="str">
        <f t="shared" si="3"/>
        <v>LM400CI533N3</v>
      </c>
      <c r="BE74" t="s">
        <v>664</v>
      </c>
      <c r="BF74" t="s">
        <v>845</v>
      </c>
      <c r="BG74" t="s">
        <v>664</v>
      </c>
      <c r="BH74" s="204" t="s">
        <v>544</v>
      </c>
      <c r="BI74" s="204" t="s">
        <v>747</v>
      </c>
      <c r="BJ74" s="204">
        <v>5</v>
      </c>
      <c r="BK74" s="204">
        <v>3</v>
      </c>
      <c r="BL74" s="204">
        <v>3</v>
      </c>
      <c r="BM74" s="204" t="s">
        <v>748</v>
      </c>
      <c r="BN74" s="204">
        <v>3</v>
      </c>
    </row>
    <row r="75" spans="56:73" x14ac:dyDescent="0.3">
      <c r="BD75" t="str">
        <f t="shared" si="3"/>
        <v>LM400KCI533N3</v>
      </c>
      <c r="BE75" t="s">
        <v>667</v>
      </c>
      <c r="BF75" t="s">
        <v>846</v>
      </c>
      <c r="BG75" t="s">
        <v>667</v>
      </c>
      <c r="BH75" s="204" t="s">
        <v>544</v>
      </c>
      <c r="BI75" s="204" t="s">
        <v>747</v>
      </c>
      <c r="BJ75" s="204">
        <v>5</v>
      </c>
      <c r="BK75" s="204">
        <v>3</v>
      </c>
      <c r="BL75" s="204">
        <v>3</v>
      </c>
      <c r="BM75" s="204" t="s">
        <v>748</v>
      </c>
      <c r="BN75" s="204">
        <v>3</v>
      </c>
      <c r="BU75" s="209"/>
    </row>
    <row r="76" spans="56:73" x14ac:dyDescent="0.3">
      <c r="BD76" t="str">
        <f t="shared" si="3"/>
        <v>LM400KCT533N3</v>
      </c>
      <c r="BE76" t="s">
        <v>847</v>
      </c>
      <c r="BF76" t="s">
        <v>845</v>
      </c>
      <c r="BG76" t="s">
        <v>667</v>
      </c>
      <c r="BH76" s="204" t="s">
        <v>544</v>
      </c>
      <c r="BI76" s="204" t="s">
        <v>554</v>
      </c>
      <c r="BJ76" s="204">
        <v>5</v>
      </c>
      <c r="BK76" s="204">
        <v>3</v>
      </c>
      <c r="BL76" s="204">
        <v>3</v>
      </c>
      <c r="BM76" s="204" t="s">
        <v>748</v>
      </c>
      <c r="BN76" s="204">
        <v>3</v>
      </c>
      <c r="BU76" s="209"/>
    </row>
    <row r="77" spans="56:73" x14ac:dyDescent="0.3">
      <c r="BD77" t="str">
        <f t="shared" si="3"/>
        <v>LM400KCI633N3</v>
      </c>
      <c r="BE77" t="s">
        <v>848</v>
      </c>
      <c r="BF77" t="s">
        <v>846</v>
      </c>
      <c r="BG77" t="s">
        <v>667</v>
      </c>
      <c r="BH77" s="204" t="s">
        <v>544</v>
      </c>
      <c r="BI77" s="204" t="s">
        <v>747</v>
      </c>
      <c r="BJ77" s="204">
        <v>6</v>
      </c>
      <c r="BK77" s="204">
        <v>3</v>
      </c>
      <c r="BL77" s="204">
        <v>3</v>
      </c>
      <c r="BM77" s="204" t="s">
        <v>748</v>
      </c>
      <c r="BN77" s="204">
        <v>3</v>
      </c>
      <c r="BU77" s="209"/>
    </row>
    <row r="78" spans="56:73" x14ac:dyDescent="0.3">
      <c r="BD78" t="str">
        <f t="shared" si="3"/>
        <v>LM400CT533N3</v>
      </c>
      <c r="BE78" t="s">
        <v>849</v>
      </c>
      <c r="BF78" t="s">
        <v>850</v>
      </c>
      <c r="BG78" t="s">
        <v>664</v>
      </c>
      <c r="BH78" s="204" t="s">
        <v>544</v>
      </c>
      <c r="BI78" s="204" t="s">
        <v>554</v>
      </c>
      <c r="BJ78" s="204">
        <v>5</v>
      </c>
      <c r="BK78" s="204">
        <v>3</v>
      </c>
      <c r="BL78" s="204">
        <v>3</v>
      </c>
      <c r="BM78" s="204" t="s">
        <v>748</v>
      </c>
      <c r="BN78" s="204">
        <v>3</v>
      </c>
      <c r="BU78" s="209"/>
    </row>
    <row r="79" spans="56:73" x14ac:dyDescent="0.3">
      <c r="BD79" t="str">
        <f t="shared" si="3"/>
        <v>LM400CT633N3</v>
      </c>
      <c r="BE79" t="s">
        <v>851</v>
      </c>
      <c r="BF79" t="s">
        <v>850</v>
      </c>
      <c r="BG79" t="s">
        <v>664</v>
      </c>
      <c r="BH79" s="204" t="s">
        <v>544</v>
      </c>
      <c r="BI79" s="204" t="s">
        <v>554</v>
      </c>
      <c r="BJ79" s="204">
        <v>6</v>
      </c>
      <c r="BK79" s="204">
        <v>3</v>
      </c>
      <c r="BL79" s="204">
        <v>3</v>
      </c>
      <c r="BM79" s="204" t="s">
        <v>748</v>
      </c>
      <c r="BN79" s="204">
        <v>3</v>
      </c>
      <c r="BU79" s="209"/>
    </row>
    <row r="80" spans="56:73" x14ac:dyDescent="0.3">
      <c r="BD80" t="str">
        <f t="shared" si="3"/>
        <v>LM400CI633N3</v>
      </c>
      <c r="BE80" t="s">
        <v>852</v>
      </c>
      <c r="BF80" t="s">
        <v>845</v>
      </c>
      <c r="BG80" t="s">
        <v>664</v>
      </c>
      <c r="BH80" s="204" t="s">
        <v>544</v>
      </c>
      <c r="BI80" s="204" t="s">
        <v>747</v>
      </c>
      <c r="BJ80" s="204">
        <v>6</v>
      </c>
      <c r="BK80" s="204">
        <v>3</v>
      </c>
      <c r="BL80" s="204">
        <v>3</v>
      </c>
      <c r="BM80" s="204" t="s">
        <v>748</v>
      </c>
      <c r="BN80" s="204">
        <v>3</v>
      </c>
      <c r="BU80" s="209"/>
    </row>
    <row r="81" spans="56:73" x14ac:dyDescent="0.3">
      <c r="BD81" t="str">
        <f t="shared" ref="BD81:BD96" si="4">CONCATENATE(BG81,BH81,BI81,BJ81,BK81,BL81,BM81,BN81)</f>
        <v>LM402CI533N3</v>
      </c>
      <c r="BE81" t="s">
        <v>665</v>
      </c>
      <c r="BF81" t="s">
        <v>853</v>
      </c>
      <c r="BG81" t="s">
        <v>665</v>
      </c>
      <c r="BH81" s="204" t="s">
        <v>544</v>
      </c>
      <c r="BI81" s="204" t="s">
        <v>747</v>
      </c>
      <c r="BJ81" s="204">
        <v>5</v>
      </c>
      <c r="BK81" s="204">
        <v>3</v>
      </c>
      <c r="BL81" s="204">
        <v>3</v>
      </c>
      <c r="BM81" s="204" t="s">
        <v>748</v>
      </c>
      <c r="BN81" s="204">
        <v>3</v>
      </c>
      <c r="BU81" s="209"/>
    </row>
    <row r="82" spans="56:73" x14ac:dyDescent="0.3">
      <c r="BD82" t="str">
        <f t="shared" si="4"/>
        <v>LM402KCI533N3</v>
      </c>
      <c r="BE82" t="s">
        <v>668</v>
      </c>
      <c r="BF82" t="s">
        <v>854</v>
      </c>
      <c r="BG82" t="s">
        <v>668</v>
      </c>
      <c r="BH82" s="204" t="s">
        <v>544</v>
      </c>
      <c r="BI82" s="204" t="s">
        <v>747</v>
      </c>
      <c r="BJ82" s="204">
        <v>5</v>
      </c>
      <c r="BK82" s="204">
        <v>3</v>
      </c>
      <c r="BL82" s="204">
        <v>3</v>
      </c>
      <c r="BM82" s="204" t="s">
        <v>748</v>
      </c>
      <c r="BN82" s="204">
        <v>3</v>
      </c>
      <c r="BU82" s="209"/>
    </row>
    <row r="83" spans="56:73" x14ac:dyDescent="0.3">
      <c r="BD83" t="str">
        <f t="shared" si="4"/>
        <v>LM402KCT533N3</v>
      </c>
      <c r="BE83" t="s">
        <v>855</v>
      </c>
      <c r="BF83" t="s">
        <v>856</v>
      </c>
      <c r="BG83" t="s">
        <v>668</v>
      </c>
      <c r="BH83" s="204" t="s">
        <v>544</v>
      </c>
      <c r="BI83" s="204" t="s">
        <v>554</v>
      </c>
      <c r="BJ83" s="204">
        <v>5</v>
      </c>
      <c r="BK83" s="204">
        <v>3</v>
      </c>
      <c r="BL83" s="204">
        <v>3</v>
      </c>
      <c r="BM83" s="204" t="s">
        <v>748</v>
      </c>
      <c r="BN83" s="204">
        <v>3</v>
      </c>
      <c r="BU83" s="209"/>
    </row>
    <row r="84" spans="56:73" x14ac:dyDescent="0.3">
      <c r="BD84" t="str">
        <f t="shared" si="4"/>
        <v>LM402KCT633N3</v>
      </c>
      <c r="BE84" t="s">
        <v>857</v>
      </c>
      <c r="BF84" t="s">
        <v>853</v>
      </c>
      <c r="BG84" t="s">
        <v>668</v>
      </c>
      <c r="BH84" s="204" t="s">
        <v>544</v>
      </c>
      <c r="BI84" s="204" t="s">
        <v>554</v>
      </c>
      <c r="BJ84" s="204">
        <v>6</v>
      </c>
      <c r="BK84" s="204">
        <v>3</v>
      </c>
      <c r="BL84" s="204">
        <v>3</v>
      </c>
      <c r="BM84" s="204" t="s">
        <v>748</v>
      </c>
      <c r="BN84" s="204">
        <v>3</v>
      </c>
      <c r="BU84" s="209"/>
    </row>
    <row r="85" spans="56:73" x14ac:dyDescent="0.3">
      <c r="BD85" t="str">
        <f t="shared" si="4"/>
        <v>LM402KCT633N3</v>
      </c>
      <c r="BE85" t="s">
        <v>858</v>
      </c>
      <c r="BF85" t="s">
        <v>856</v>
      </c>
      <c r="BG85" t="s">
        <v>668</v>
      </c>
      <c r="BH85" s="204" t="s">
        <v>544</v>
      </c>
      <c r="BI85" s="204" t="s">
        <v>554</v>
      </c>
      <c r="BJ85" s="204">
        <v>6</v>
      </c>
      <c r="BK85" s="204">
        <v>3</v>
      </c>
      <c r="BL85" s="204">
        <v>3</v>
      </c>
      <c r="BM85" s="204" t="s">
        <v>748</v>
      </c>
      <c r="BN85" s="204">
        <v>3</v>
      </c>
      <c r="BU85" s="209"/>
    </row>
    <row r="86" spans="56:73" x14ac:dyDescent="0.3">
      <c r="BD86" t="str">
        <f t="shared" si="4"/>
        <v>LM402CT533N3</v>
      </c>
      <c r="BE86" t="s">
        <v>859</v>
      </c>
      <c r="BF86" t="s">
        <v>853</v>
      </c>
      <c r="BG86" t="s">
        <v>665</v>
      </c>
      <c r="BH86" s="204" t="s">
        <v>544</v>
      </c>
      <c r="BI86" s="204" t="s">
        <v>554</v>
      </c>
      <c r="BJ86" s="204">
        <v>5</v>
      </c>
      <c r="BK86" s="204">
        <v>3</v>
      </c>
      <c r="BL86" s="204">
        <v>3</v>
      </c>
      <c r="BM86" s="204" t="s">
        <v>748</v>
      </c>
      <c r="BN86" s="204">
        <v>3</v>
      </c>
      <c r="BU86" s="209"/>
    </row>
    <row r="87" spans="56:73" x14ac:dyDescent="0.3">
      <c r="BD87" t="str">
        <f t="shared" si="4"/>
        <v>LM402CT633N3</v>
      </c>
      <c r="BE87" t="s">
        <v>860</v>
      </c>
      <c r="BF87" t="s">
        <v>853</v>
      </c>
      <c r="BG87" t="s">
        <v>665</v>
      </c>
      <c r="BH87" s="204" t="s">
        <v>544</v>
      </c>
      <c r="BI87" s="204" t="s">
        <v>554</v>
      </c>
      <c r="BJ87" s="204">
        <v>6</v>
      </c>
      <c r="BK87" s="204">
        <v>3</v>
      </c>
      <c r="BL87" s="204">
        <v>3</v>
      </c>
      <c r="BM87" s="204" t="s">
        <v>748</v>
      </c>
      <c r="BN87" s="204">
        <v>3</v>
      </c>
      <c r="BU87" s="209"/>
    </row>
    <row r="88" spans="56:73" x14ac:dyDescent="0.3">
      <c r="BD88" t="str">
        <f t="shared" si="4"/>
        <v>LM402CI633N3</v>
      </c>
      <c r="BE88" t="s">
        <v>861</v>
      </c>
      <c r="BF88" t="s">
        <v>853</v>
      </c>
      <c r="BG88" t="s">
        <v>665</v>
      </c>
      <c r="BH88" s="204" t="s">
        <v>544</v>
      </c>
      <c r="BI88" s="204" t="s">
        <v>747</v>
      </c>
      <c r="BJ88" s="204">
        <v>6</v>
      </c>
      <c r="BK88" s="204">
        <v>3</v>
      </c>
      <c r="BL88" s="204">
        <v>3</v>
      </c>
      <c r="BM88" s="204" t="s">
        <v>748</v>
      </c>
      <c r="BN88" s="204">
        <v>3</v>
      </c>
      <c r="BU88" s="209"/>
    </row>
    <row r="89" spans="56:73" x14ac:dyDescent="0.3">
      <c r="BD89" t="str">
        <f t="shared" si="4"/>
        <v>LM400CI773N3</v>
      </c>
      <c r="BE89" t="s">
        <v>862</v>
      </c>
      <c r="BF89" t="s">
        <v>863</v>
      </c>
      <c r="BG89" t="s">
        <v>664</v>
      </c>
      <c r="BH89" s="204" t="s">
        <v>544</v>
      </c>
      <c r="BI89" s="204" t="s">
        <v>747</v>
      </c>
      <c r="BJ89" s="204">
        <v>7</v>
      </c>
      <c r="BK89" s="204">
        <v>7</v>
      </c>
      <c r="BL89" s="204">
        <v>3</v>
      </c>
      <c r="BM89" s="204" t="s">
        <v>748</v>
      </c>
      <c r="BN89" s="204">
        <v>3</v>
      </c>
      <c r="BU89" s="209"/>
    </row>
    <row r="90" spans="56:73" x14ac:dyDescent="0.3">
      <c r="BD90" t="str">
        <f t="shared" si="4"/>
        <v>LM400KCI773N3</v>
      </c>
      <c r="BE90" t="s">
        <v>864</v>
      </c>
      <c r="BF90" t="s">
        <v>865</v>
      </c>
      <c r="BG90" t="s">
        <v>667</v>
      </c>
      <c r="BH90" s="204" t="s">
        <v>544</v>
      </c>
      <c r="BI90" s="204" t="s">
        <v>747</v>
      </c>
      <c r="BJ90" s="204">
        <v>7</v>
      </c>
      <c r="BK90" s="204">
        <v>7</v>
      </c>
      <c r="BL90" s="204">
        <v>3</v>
      </c>
      <c r="BM90" s="204" t="s">
        <v>748</v>
      </c>
      <c r="BN90" s="204">
        <v>3</v>
      </c>
      <c r="BU90" s="209"/>
    </row>
    <row r="91" spans="56:73" x14ac:dyDescent="0.3">
      <c r="BD91" t="str">
        <f t="shared" si="4"/>
        <v>LM400KCT773N3</v>
      </c>
      <c r="BE91" t="s">
        <v>866</v>
      </c>
      <c r="BF91" t="s">
        <v>867</v>
      </c>
      <c r="BG91" t="s">
        <v>667</v>
      </c>
      <c r="BH91" s="204" t="s">
        <v>544</v>
      </c>
      <c r="BI91" s="204" t="s">
        <v>554</v>
      </c>
      <c r="BJ91" s="204">
        <v>7</v>
      </c>
      <c r="BK91" s="204">
        <v>7</v>
      </c>
      <c r="BL91" s="204">
        <v>3</v>
      </c>
      <c r="BM91" s="204" t="s">
        <v>748</v>
      </c>
      <c r="BN91" s="204">
        <v>3</v>
      </c>
      <c r="BU91" s="209"/>
    </row>
    <row r="92" spans="56:73" x14ac:dyDescent="0.3">
      <c r="BD92" t="str">
        <f t="shared" si="4"/>
        <v>LM400CT773N3</v>
      </c>
      <c r="BE92" t="s">
        <v>868</v>
      </c>
      <c r="BF92" t="s">
        <v>869</v>
      </c>
      <c r="BG92" t="s">
        <v>664</v>
      </c>
      <c r="BH92" s="204" t="s">
        <v>544</v>
      </c>
      <c r="BI92" s="204" t="s">
        <v>554</v>
      </c>
      <c r="BJ92" s="204">
        <v>7</v>
      </c>
      <c r="BK92" s="204">
        <v>7</v>
      </c>
      <c r="BL92" s="204">
        <v>3</v>
      </c>
      <c r="BM92" s="204" t="s">
        <v>748</v>
      </c>
      <c r="BN92" s="204">
        <v>3</v>
      </c>
      <c r="BU92" s="209"/>
    </row>
    <row r="93" spans="56:73" x14ac:dyDescent="0.3">
      <c r="BD93" t="str">
        <f t="shared" si="4"/>
        <v>LM402CI773N3</v>
      </c>
      <c r="BE93" t="s">
        <v>870</v>
      </c>
      <c r="BF93" t="s">
        <v>871</v>
      </c>
      <c r="BG93" t="s">
        <v>665</v>
      </c>
      <c r="BH93" s="204" t="s">
        <v>544</v>
      </c>
      <c r="BI93" s="204" t="s">
        <v>747</v>
      </c>
      <c r="BJ93" s="204">
        <v>7</v>
      </c>
      <c r="BK93" s="204">
        <v>7</v>
      </c>
      <c r="BL93" s="204">
        <v>3</v>
      </c>
      <c r="BM93" s="204" t="s">
        <v>748</v>
      </c>
      <c r="BN93" s="204">
        <v>3</v>
      </c>
      <c r="BU93" s="209"/>
    </row>
    <row r="94" spans="56:73" x14ac:dyDescent="0.3">
      <c r="BD94" t="str">
        <f t="shared" si="4"/>
        <v>LM402KCI773N3</v>
      </c>
      <c r="BE94" t="s">
        <v>872</v>
      </c>
      <c r="BF94" t="s">
        <v>873</v>
      </c>
      <c r="BG94" t="s">
        <v>668</v>
      </c>
      <c r="BH94" s="204" t="s">
        <v>544</v>
      </c>
      <c r="BI94" s="204" t="s">
        <v>747</v>
      </c>
      <c r="BJ94" s="204">
        <v>7</v>
      </c>
      <c r="BK94" s="204">
        <v>7</v>
      </c>
      <c r="BL94" s="204">
        <v>3</v>
      </c>
      <c r="BM94" s="204" t="s">
        <v>748</v>
      </c>
      <c r="BN94" s="204">
        <v>3</v>
      </c>
      <c r="BU94" s="209"/>
    </row>
    <row r="95" spans="56:73" x14ac:dyDescent="0.3">
      <c r="BD95" t="str">
        <f t="shared" si="4"/>
        <v>LM402KCT773N3</v>
      </c>
      <c r="BE95" t="s">
        <v>874</v>
      </c>
      <c r="BF95" t="s">
        <v>842</v>
      </c>
      <c r="BG95" t="s">
        <v>668</v>
      </c>
      <c r="BH95" s="204" t="s">
        <v>544</v>
      </c>
      <c r="BI95" s="204" t="s">
        <v>554</v>
      </c>
      <c r="BJ95" s="204">
        <v>7</v>
      </c>
      <c r="BK95" s="204">
        <v>7</v>
      </c>
      <c r="BL95" s="204">
        <v>3</v>
      </c>
      <c r="BM95" s="204" t="s">
        <v>748</v>
      </c>
      <c r="BN95" s="204">
        <v>3</v>
      </c>
      <c r="BU95" s="209"/>
    </row>
    <row r="96" spans="56:73" x14ac:dyDescent="0.3">
      <c r="BD96" t="str">
        <f t="shared" si="4"/>
        <v>LM402CT773N3</v>
      </c>
      <c r="BE96" t="s">
        <v>875</v>
      </c>
      <c r="BF96" t="s">
        <v>871</v>
      </c>
      <c r="BG96" t="s">
        <v>665</v>
      </c>
      <c r="BH96" s="204" t="s">
        <v>544</v>
      </c>
      <c r="BI96" s="204" t="s">
        <v>554</v>
      </c>
      <c r="BJ96" s="204">
        <v>7</v>
      </c>
      <c r="BK96" s="204">
        <v>7</v>
      </c>
      <c r="BL96" s="204">
        <v>3</v>
      </c>
      <c r="BM96" s="204" t="s">
        <v>748</v>
      </c>
      <c r="BN96" s="204">
        <v>3</v>
      </c>
      <c r="BU96" s="209"/>
    </row>
    <row r="97" spans="73:73" x14ac:dyDescent="0.3">
      <c r="BU97" s="209"/>
    </row>
    <row r="98" spans="73:73" x14ac:dyDescent="0.3">
      <c r="BU98" s="209"/>
    </row>
    <row r="99" spans="73:73" x14ac:dyDescent="0.3">
      <c r="BU99" s="209"/>
    </row>
    <row r="100" spans="73:73" x14ac:dyDescent="0.3">
      <c r="BU100" s="209"/>
    </row>
    <row r="101" spans="73:73" x14ac:dyDescent="0.3">
      <c r="BU101" s="209"/>
    </row>
    <row r="102" spans="73:73" x14ac:dyDescent="0.3">
      <c r="BU102" s="209"/>
    </row>
    <row r="103" spans="73:73" x14ac:dyDescent="0.3">
      <c r="BU103" s="209"/>
    </row>
    <row r="105" spans="73:73" x14ac:dyDescent="0.3">
      <c r="BU105" s="209"/>
    </row>
    <row r="106" spans="73:73" x14ac:dyDescent="0.3">
      <c r="BU106" s="209"/>
    </row>
    <row r="107" spans="73:73" x14ac:dyDescent="0.3">
      <c r="BU107" s="209"/>
    </row>
    <row r="108" spans="73:73" x14ac:dyDescent="0.3">
      <c r="BU108" s="209"/>
    </row>
    <row r="109" spans="73:73" x14ac:dyDescent="0.3">
      <c r="BU109" s="209"/>
    </row>
    <row r="110" spans="73:73" x14ac:dyDescent="0.3">
      <c r="BU110" s="209"/>
    </row>
    <row r="111" spans="73:73" x14ac:dyDescent="0.3">
      <c r="BU111" s="209"/>
    </row>
    <row r="112" spans="73:73" x14ac:dyDescent="0.3">
      <c r="BU112" s="209"/>
    </row>
    <row r="113" spans="73:73" x14ac:dyDescent="0.3">
      <c r="BU113" s="209"/>
    </row>
    <row r="114" spans="73:73" x14ac:dyDescent="0.3">
      <c r="BU114" s="209"/>
    </row>
    <row r="115" spans="73:73" x14ac:dyDescent="0.3">
      <c r="BU115" s="209"/>
    </row>
    <row r="116" spans="73:73" x14ac:dyDescent="0.3">
      <c r="BU116" s="209"/>
    </row>
    <row r="117" spans="73:73" x14ac:dyDescent="0.3">
      <c r="BU117" s="209"/>
    </row>
    <row r="118" spans="73:73" x14ac:dyDescent="0.3">
      <c r="BU118" s="209"/>
    </row>
    <row r="119" spans="73:73" x14ac:dyDescent="0.3">
      <c r="BU119" s="209"/>
    </row>
    <row r="120" spans="73:73" x14ac:dyDescent="0.3">
      <c r="BU120" s="209"/>
    </row>
    <row r="121" spans="73:73" x14ac:dyDescent="0.3">
      <c r="BU121" s="209"/>
    </row>
    <row r="122" spans="73:73" x14ac:dyDescent="0.3">
      <c r="BU122" s="209"/>
    </row>
    <row r="123" spans="73:73" x14ac:dyDescent="0.3">
      <c r="BU123" s="209"/>
    </row>
    <row r="124" spans="73:73" x14ac:dyDescent="0.3">
      <c r="BU124" s="209"/>
    </row>
    <row r="125" spans="73:73" x14ac:dyDescent="0.3">
      <c r="BU125" s="209"/>
    </row>
    <row r="126" spans="73:73" x14ac:dyDescent="0.3">
      <c r="BU126" s="209"/>
    </row>
    <row r="127" spans="73:73" x14ac:dyDescent="0.3">
      <c r="BU127" s="209"/>
    </row>
    <row r="128" spans="73:73" x14ac:dyDescent="0.3">
      <c r="BU128" s="209"/>
    </row>
    <row r="129" spans="73:73" x14ac:dyDescent="0.3">
      <c r="BU129" s="209"/>
    </row>
    <row r="130" spans="73:73" x14ac:dyDescent="0.3">
      <c r="BU130" s="209"/>
    </row>
    <row r="131" spans="73:73" x14ac:dyDescent="0.3">
      <c r="BU131" s="209"/>
    </row>
    <row r="132" spans="73:73" x14ac:dyDescent="0.3">
      <c r="BU132" s="209"/>
    </row>
    <row r="133" spans="73:73" x14ac:dyDescent="0.3">
      <c r="BU133" s="209"/>
    </row>
    <row r="134" spans="73:73" x14ac:dyDescent="0.3">
      <c r="BU134" s="209"/>
    </row>
    <row r="135" spans="73:73" x14ac:dyDescent="0.3">
      <c r="BU135" s="209"/>
    </row>
    <row r="136" spans="73:73" x14ac:dyDescent="0.3">
      <c r="BU136" s="209"/>
    </row>
    <row r="137" spans="73:73" x14ac:dyDescent="0.3">
      <c r="BU137" s="209"/>
    </row>
    <row r="138" spans="73:73" x14ac:dyDescent="0.3">
      <c r="BU138" s="209"/>
    </row>
    <row r="139" spans="73:73" x14ac:dyDescent="0.3">
      <c r="BU139" s="209"/>
    </row>
    <row r="140" spans="73:73" x14ac:dyDescent="0.3">
      <c r="BU140" s="209"/>
    </row>
    <row r="141" spans="73:73" x14ac:dyDescent="0.3">
      <c r="BU141" s="209"/>
    </row>
    <row r="142" spans="73:73" x14ac:dyDescent="0.3">
      <c r="BU142" s="209"/>
    </row>
    <row r="143" spans="73:73" x14ac:dyDescent="0.3">
      <c r="BU143" s="209"/>
    </row>
    <row r="144" spans="73:73" x14ac:dyDescent="0.3">
      <c r="BU144" s="209"/>
    </row>
    <row r="145" spans="73:73" x14ac:dyDescent="0.3">
      <c r="BU145" s="209"/>
    </row>
    <row r="146" spans="73:73" x14ac:dyDescent="0.3">
      <c r="BU146" s="209"/>
    </row>
    <row r="147" spans="73:73" x14ac:dyDescent="0.3">
      <c r="BU147" s="209"/>
    </row>
    <row r="148" spans="73:73" x14ac:dyDescent="0.3">
      <c r="BU148" s="209"/>
    </row>
    <row r="149" spans="73:73" x14ac:dyDescent="0.3">
      <c r="BU149" s="209"/>
    </row>
    <row r="150" spans="73:73" x14ac:dyDescent="0.3">
      <c r="BU150" s="209"/>
    </row>
    <row r="151" spans="73:73" x14ac:dyDescent="0.3">
      <c r="BU151" s="209"/>
    </row>
    <row r="152" spans="73:73" x14ac:dyDescent="0.3">
      <c r="BU152" s="209"/>
    </row>
    <row r="153" spans="73:73" x14ac:dyDescent="0.3">
      <c r="BU153" s="209"/>
    </row>
    <row r="154" spans="73:73" x14ac:dyDescent="0.3">
      <c r="BU154" s="209"/>
    </row>
    <row r="155" spans="73:73" x14ac:dyDescent="0.3">
      <c r="BU155" s="209"/>
    </row>
    <row r="156" spans="73:73" x14ac:dyDescent="0.3">
      <c r="BU156" s="209"/>
    </row>
    <row r="157" spans="73:73" x14ac:dyDescent="0.3">
      <c r="BU157" s="209"/>
    </row>
    <row r="158" spans="73:73" x14ac:dyDescent="0.3">
      <c r="BU158" s="209"/>
    </row>
    <row r="159" spans="73:73" x14ac:dyDescent="0.3">
      <c r="BU159" s="209"/>
    </row>
    <row r="160" spans="73:73" x14ac:dyDescent="0.3">
      <c r="BU160" s="209"/>
    </row>
    <row r="161" spans="73:73" x14ac:dyDescent="0.3">
      <c r="BU161" s="209"/>
    </row>
    <row r="162" spans="73:73" x14ac:dyDescent="0.3">
      <c r="BU162" s="209"/>
    </row>
    <row r="163" spans="73:73" x14ac:dyDescent="0.3">
      <c r="BU163" s="209"/>
    </row>
    <row r="164" spans="73:73" x14ac:dyDescent="0.3">
      <c r="BU164" s="209"/>
    </row>
    <row r="165" spans="73:73" x14ac:dyDescent="0.3">
      <c r="BU165" s="209"/>
    </row>
    <row r="166" spans="73:73" x14ac:dyDescent="0.3">
      <c r="BU166" s="209"/>
    </row>
    <row r="167" spans="73:73" x14ac:dyDescent="0.3">
      <c r="BU167" s="209"/>
    </row>
    <row r="168" spans="73:73" x14ac:dyDescent="0.3">
      <c r="BU168" s="209"/>
    </row>
    <row r="169" spans="73:73" x14ac:dyDescent="0.3">
      <c r="BU169" s="209"/>
    </row>
    <row r="170" spans="73:73" x14ac:dyDescent="0.3">
      <c r="BU170" s="209"/>
    </row>
    <row r="171" spans="73:73" x14ac:dyDescent="0.3">
      <c r="BU171" s="209"/>
    </row>
    <row r="172" spans="73:73" x14ac:dyDescent="0.3">
      <c r="BU172" s="209"/>
    </row>
    <row r="173" spans="73:73" x14ac:dyDescent="0.3">
      <c r="BU173" s="209"/>
    </row>
    <row r="174" spans="73:73" x14ac:dyDescent="0.3">
      <c r="BU174" s="209"/>
    </row>
    <row r="175" spans="73:73" x14ac:dyDescent="0.3">
      <c r="BU175" s="209"/>
    </row>
    <row r="176" spans="73:73" x14ac:dyDescent="0.3">
      <c r="BU176" s="209"/>
    </row>
    <row r="177" spans="73:73" x14ac:dyDescent="0.3">
      <c r="BU177" s="209"/>
    </row>
    <row r="178" spans="73:73" x14ac:dyDescent="0.3">
      <c r="BU178" s="209"/>
    </row>
    <row r="179" spans="73:73" x14ac:dyDescent="0.3">
      <c r="BU179" s="209"/>
    </row>
    <row r="180" spans="73:73" x14ac:dyDescent="0.3">
      <c r="BU180" s="209"/>
    </row>
    <row r="181" spans="73:73" x14ac:dyDescent="0.3">
      <c r="BU181" s="209"/>
    </row>
    <row r="182" spans="73:73" x14ac:dyDescent="0.3">
      <c r="BU182" s="209"/>
    </row>
    <row r="183" spans="73:73" x14ac:dyDescent="0.3">
      <c r="BU183" s="209"/>
    </row>
    <row r="184" spans="73:73" x14ac:dyDescent="0.3">
      <c r="BU184" s="209"/>
    </row>
    <row r="185" spans="73:73" x14ac:dyDescent="0.3">
      <c r="BU185" s="209"/>
    </row>
    <row r="186" spans="73:73" x14ac:dyDescent="0.3">
      <c r="BU186" s="209"/>
    </row>
    <row r="187" spans="73:73" x14ac:dyDescent="0.3">
      <c r="BU187" s="209"/>
    </row>
    <row r="188" spans="73:73" x14ac:dyDescent="0.3">
      <c r="BU188" s="209"/>
    </row>
    <row r="189" spans="73:73" x14ac:dyDescent="0.3">
      <c r="BU189" s="209"/>
    </row>
    <row r="190" spans="73:73" x14ac:dyDescent="0.3">
      <c r="BU190" s="209"/>
    </row>
    <row r="191" spans="73:73" x14ac:dyDescent="0.3">
      <c r="BU191" s="209"/>
    </row>
    <row r="192" spans="73:73" x14ac:dyDescent="0.3">
      <c r="BU192" s="209"/>
    </row>
    <row r="193" spans="73:73" x14ac:dyDescent="0.3">
      <c r="BU193" s="209"/>
    </row>
    <row r="194" spans="73:73" x14ac:dyDescent="0.3">
      <c r="BU194" s="209"/>
    </row>
    <row r="195" spans="73:73" x14ac:dyDescent="0.3">
      <c r="BU195" s="209"/>
    </row>
    <row r="196" spans="73:73" x14ac:dyDescent="0.3">
      <c r="BU196" s="209"/>
    </row>
    <row r="197" spans="73:73" x14ac:dyDescent="0.3">
      <c r="BU197" s="209"/>
    </row>
    <row r="198" spans="73:73" x14ac:dyDescent="0.3">
      <c r="BU198" s="209"/>
    </row>
    <row r="199" spans="73:73" x14ac:dyDescent="0.3">
      <c r="BU199" s="209"/>
    </row>
    <row r="200" spans="73:73" x14ac:dyDescent="0.3">
      <c r="BU200" s="209"/>
    </row>
    <row r="201" spans="73:73" x14ac:dyDescent="0.3">
      <c r="BU201" s="209"/>
    </row>
    <row r="202" spans="73:73" x14ac:dyDescent="0.3">
      <c r="BU202" s="209"/>
    </row>
    <row r="203" spans="73:73" x14ac:dyDescent="0.3">
      <c r="BU203" s="209"/>
    </row>
    <row r="204" spans="73:73" x14ac:dyDescent="0.3">
      <c r="BU204" s="209"/>
    </row>
    <row r="205" spans="73:73" x14ac:dyDescent="0.3">
      <c r="BU205" s="209"/>
    </row>
    <row r="206" spans="73:73" x14ac:dyDescent="0.3">
      <c r="BU206" s="209"/>
    </row>
    <row r="207" spans="73:73" x14ac:dyDescent="0.3">
      <c r="BU207" s="209"/>
    </row>
    <row r="208" spans="73:73" x14ac:dyDescent="0.3">
      <c r="BU208" s="209"/>
    </row>
    <row r="209" spans="73:73" x14ac:dyDescent="0.3">
      <c r="BU209" s="209"/>
    </row>
    <row r="210" spans="73:73" x14ac:dyDescent="0.3">
      <c r="BU210" s="209"/>
    </row>
    <row r="211" spans="73:73" x14ac:dyDescent="0.3">
      <c r="BU211" s="209"/>
    </row>
    <row r="212" spans="73:73" x14ac:dyDescent="0.3">
      <c r="BU212" s="209"/>
    </row>
    <row r="213" spans="73:73" x14ac:dyDescent="0.3">
      <c r="BU213" s="209"/>
    </row>
    <row r="214" spans="73:73" x14ac:dyDescent="0.3">
      <c r="BU214" s="209"/>
    </row>
    <row r="215" spans="73:73" x14ac:dyDescent="0.3">
      <c r="BU215" s="209"/>
    </row>
    <row r="216" spans="73:73" x14ac:dyDescent="0.3">
      <c r="BU216" s="209"/>
    </row>
    <row r="217" spans="73:73" x14ac:dyDescent="0.3">
      <c r="BU217" s="209"/>
    </row>
    <row r="218" spans="73:73" x14ac:dyDescent="0.3">
      <c r="BU218" s="209"/>
    </row>
    <row r="219" spans="73:73" x14ac:dyDescent="0.3">
      <c r="BU219" s="209"/>
    </row>
    <row r="220" spans="73:73" x14ac:dyDescent="0.3">
      <c r="BU220" s="209"/>
    </row>
    <row r="221" spans="73:73" x14ac:dyDescent="0.3">
      <c r="BU221" s="209"/>
    </row>
    <row r="222" spans="73:73" x14ac:dyDescent="0.3">
      <c r="BU222" s="209"/>
    </row>
    <row r="223" spans="73:73" x14ac:dyDescent="0.3">
      <c r="BU223" s="209"/>
    </row>
    <row r="224" spans="73:73" x14ac:dyDescent="0.3">
      <c r="BU224" s="209"/>
    </row>
    <row r="227" spans="73:73" x14ac:dyDescent="0.3">
      <c r="BU227" s="209"/>
    </row>
    <row r="228" spans="73:73" x14ac:dyDescent="0.3">
      <c r="BU228" s="209"/>
    </row>
    <row r="231" spans="73:73" x14ac:dyDescent="0.3">
      <c r="BU231" s="209"/>
    </row>
    <row r="233" spans="73:73" x14ac:dyDescent="0.3">
      <c r="BU233" s="209"/>
    </row>
    <row r="237" spans="73:73" x14ac:dyDescent="0.3">
      <c r="BU237" s="209"/>
    </row>
    <row r="239" spans="73:73" x14ac:dyDescent="0.3">
      <c r="BU239" s="209"/>
    </row>
    <row r="242" spans="73:73" x14ac:dyDescent="0.3">
      <c r="BU242" s="209"/>
    </row>
    <row r="244" spans="73:73" x14ac:dyDescent="0.3">
      <c r="BU244" s="209"/>
    </row>
    <row r="245" spans="73:73" x14ac:dyDescent="0.3">
      <c r="BU245" s="209"/>
    </row>
    <row r="246" spans="73:73" x14ac:dyDescent="0.3">
      <c r="BU246" s="209"/>
    </row>
    <row r="248" spans="73:73" x14ac:dyDescent="0.3">
      <c r="BU248" s="209"/>
    </row>
    <row r="249" spans="73:73" x14ac:dyDescent="0.3">
      <c r="BU249" s="209"/>
    </row>
    <row r="250" spans="73:73" x14ac:dyDescent="0.3">
      <c r="BU250" s="209"/>
    </row>
    <row r="251" spans="73:73" x14ac:dyDescent="0.3">
      <c r="BU251" s="209"/>
    </row>
    <row r="252" spans="73:73" x14ac:dyDescent="0.3">
      <c r="BU252" s="209"/>
    </row>
    <row r="253" spans="73:73" x14ac:dyDescent="0.3">
      <c r="BU253" s="209"/>
    </row>
    <row r="254" spans="73:73" x14ac:dyDescent="0.3">
      <c r="BU254" s="209"/>
    </row>
    <row r="255" spans="73:73" x14ac:dyDescent="0.3">
      <c r="BU255" s="209"/>
    </row>
    <row r="256" spans="73:73" x14ac:dyDescent="0.3">
      <c r="BU256" s="209"/>
    </row>
    <row r="257" spans="73:73" x14ac:dyDescent="0.3">
      <c r="BU257" s="209"/>
    </row>
    <row r="258" spans="73:73" x14ac:dyDescent="0.3">
      <c r="BU258" s="209"/>
    </row>
    <row r="259" spans="73:73" x14ac:dyDescent="0.3">
      <c r="BU259" s="209"/>
    </row>
    <row r="260" spans="73:73" x14ac:dyDescent="0.3">
      <c r="BU260" s="209"/>
    </row>
    <row r="261" spans="73:73" x14ac:dyDescent="0.3">
      <c r="BU261" s="209"/>
    </row>
    <row r="262" spans="73:73" x14ac:dyDescent="0.3">
      <c r="BU262" s="209"/>
    </row>
    <row r="263" spans="73:73" x14ac:dyDescent="0.3">
      <c r="BU263" s="209"/>
    </row>
    <row r="264" spans="73:73" x14ac:dyDescent="0.3">
      <c r="BU264" s="209"/>
    </row>
    <row r="265" spans="73:73" x14ac:dyDescent="0.3">
      <c r="BU265" s="209"/>
    </row>
    <row r="266" spans="73:73" x14ac:dyDescent="0.3">
      <c r="BU266" s="209"/>
    </row>
    <row r="267" spans="73:73" x14ac:dyDescent="0.3">
      <c r="BU267" s="209"/>
    </row>
    <row r="268" spans="73:73" x14ac:dyDescent="0.3">
      <c r="BU268" s="209"/>
    </row>
    <row r="270" spans="73:73" x14ac:dyDescent="0.3">
      <c r="BU270" s="209"/>
    </row>
    <row r="271" spans="73:73" x14ac:dyDescent="0.3">
      <c r="BU271" s="209"/>
    </row>
    <row r="272" spans="73:73" x14ac:dyDescent="0.3">
      <c r="BU272" s="209"/>
    </row>
    <row r="273" spans="73:73" x14ac:dyDescent="0.3">
      <c r="BU273" s="209"/>
    </row>
    <row r="274" spans="73:73" x14ac:dyDescent="0.3">
      <c r="BU274" s="209"/>
    </row>
    <row r="275" spans="73:73" x14ac:dyDescent="0.3">
      <c r="BU275" s="209"/>
    </row>
    <row r="276" spans="73:73" x14ac:dyDescent="0.3">
      <c r="BU276" s="209"/>
    </row>
    <row r="277" spans="73:73" x14ac:dyDescent="0.3">
      <c r="BU277" s="209"/>
    </row>
    <row r="278" spans="73:73" x14ac:dyDescent="0.3">
      <c r="BU278" s="209"/>
    </row>
    <row r="279" spans="73:73" x14ac:dyDescent="0.3">
      <c r="BU279" s="209"/>
    </row>
    <row r="280" spans="73:73" x14ac:dyDescent="0.3">
      <c r="BU280" s="209"/>
    </row>
    <row r="281" spans="73:73" x14ac:dyDescent="0.3">
      <c r="BU281" s="209"/>
    </row>
    <row r="282" spans="73:73" x14ac:dyDescent="0.3">
      <c r="BU282" s="209"/>
    </row>
    <row r="283" spans="73:73" x14ac:dyDescent="0.3">
      <c r="BU283" s="209"/>
    </row>
    <row r="284" spans="73:73" x14ac:dyDescent="0.3">
      <c r="BU284" s="209"/>
    </row>
    <row r="289" spans="73:73" x14ac:dyDescent="0.3">
      <c r="BU289" s="209"/>
    </row>
    <row r="290" spans="73:73" x14ac:dyDescent="0.3">
      <c r="BU290" s="209"/>
    </row>
    <row r="291" spans="73:73" x14ac:dyDescent="0.3">
      <c r="BU291" s="209"/>
    </row>
    <row r="292" spans="73:73" x14ac:dyDescent="0.3">
      <c r="BU292" s="209"/>
    </row>
    <row r="293" spans="73:73" x14ac:dyDescent="0.3">
      <c r="BU293" s="209"/>
    </row>
    <row r="294" spans="73:73" x14ac:dyDescent="0.3">
      <c r="BU294" s="209"/>
    </row>
    <row r="295" spans="73:73" x14ac:dyDescent="0.3">
      <c r="BU295" s="209"/>
    </row>
    <row r="296" spans="73:73" x14ac:dyDescent="0.3">
      <c r="BU296" s="209"/>
    </row>
    <row r="297" spans="73:73" x14ac:dyDescent="0.3">
      <c r="BU297" s="209"/>
    </row>
    <row r="298" spans="73:73" x14ac:dyDescent="0.3">
      <c r="BU298" s="209"/>
    </row>
    <row r="299" spans="73:73" x14ac:dyDescent="0.3">
      <c r="BU299" s="209"/>
    </row>
    <row r="300" spans="73:73" x14ac:dyDescent="0.3">
      <c r="BU300" s="209"/>
    </row>
    <row r="301" spans="73:73" x14ac:dyDescent="0.3">
      <c r="BU301" s="209"/>
    </row>
    <row r="302" spans="73:73" x14ac:dyDescent="0.3">
      <c r="BU302" s="209"/>
    </row>
    <row r="303" spans="73:73" x14ac:dyDescent="0.3">
      <c r="BU303" s="209"/>
    </row>
    <row r="304" spans="73:73" x14ac:dyDescent="0.3">
      <c r="BU304" s="209"/>
    </row>
    <row r="305" spans="73:73" x14ac:dyDescent="0.3">
      <c r="BU305" s="209"/>
    </row>
    <row r="306" spans="73:73" x14ac:dyDescent="0.3">
      <c r="BU306" s="209"/>
    </row>
    <row r="307" spans="73:73" x14ac:dyDescent="0.3">
      <c r="BU307" s="209"/>
    </row>
    <row r="308" spans="73:73" x14ac:dyDescent="0.3">
      <c r="BU308" s="209"/>
    </row>
    <row r="309" spans="73:73" x14ac:dyDescent="0.3">
      <c r="BU309" s="209"/>
    </row>
    <row r="310" spans="73:73" x14ac:dyDescent="0.3">
      <c r="BU310" s="209"/>
    </row>
    <row r="311" spans="73:73" x14ac:dyDescent="0.3">
      <c r="BU311" s="209"/>
    </row>
    <row r="312" spans="73:73" x14ac:dyDescent="0.3">
      <c r="BU312" s="209"/>
    </row>
    <row r="313" spans="73:73" x14ac:dyDescent="0.3">
      <c r="BU313" s="209"/>
    </row>
    <row r="314" spans="73:73" x14ac:dyDescent="0.3">
      <c r="BU314" s="209"/>
    </row>
    <row r="315" spans="73:73" x14ac:dyDescent="0.3">
      <c r="BU315" s="209"/>
    </row>
    <row r="316" spans="73:73" x14ac:dyDescent="0.3">
      <c r="BU316" s="209"/>
    </row>
    <row r="317" spans="73:73" x14ac:dyDescent="0.3">
      <c r="BU317" s="209"/>
    </row>
    <row r="318" spans="73:73" x14ac:dyDescent="0.3">
      <c r="BU318" s="209"/>
    </row>
    <row r="319" spans="73:73" x14ac:dyDescent="0.3">
      <c r="BU319" s="209"/>
    </row>
    <row r="320" spans="73:73" x14ac:dyDescent="0.3">
      <c r="BU320" s="209"/>
    </row>
    <row r="321" spans="73:73" x14ac:dyDescent="0.3">
      <c r="BU321" s="209"/>
    </row>
    <row r="322" spans="73:73" x14ac:dyDescent="0.3">
      <c r="BU322" s="209"/>
    </row>
    <row r="323" spans="73:73" x14ac:dyDescent="0.3">
      <c r="BU323" s="209"/>
    </row>
    <row r="324" spans="73:73" x14ac:dyDescent="0.3">
      <c r="BU324" s="209"/>
    </row>
    <row r="325" spans="73:73" x14ac:dyDescent="0.3">
      <c r="BU325" s="209"/>
    </row>
    <row r="326" spans="73:73" x14ac:dyDescent="0.3">
      <c r="BU326" s="209"/>
    </row>
    <row r="327" spans="73:73" x14ac:dyDescent="0.3">
      <c r="BU327" s="209"/>
    </row>
    <row r="328" spans="73:73" x14ac:dyDescent="0.3">
      <c r="BU328" s="209"/>
    </row>
    <row r="329" spans="73:73" x14ac:dyDescent="0.3">
      <c r="BU329" s="209"/>
    </row>
    <row r="330" spans="73:73" x14ac:dyDescent="0.3">
      <c r="BU330" s="209"/>
    </row>
    <row r="331" spans="73:73" x14ac:dyDescent="0.3">
      <c r="BU331" s="209"/>
    </row>
    <row r="332" spans="73:73" x14ac:dyDescent="0.3">
      <c r="BU332" s="209"/>
    </row>
    <row r="333" spans="73:73" x14ac:dyDescent="0.3">
      <c r="BU333" s="209"/>
    </row>
    <row r="334" spans="73:73" x14ac:dyDescent="0.3">
      <c r="BU334" s="209"/>
    </row>
    <row r="335" spans="73:73" x14ac:dyDescent="0.3">
      <c r="BU335" s="209"/>
    </row>
    <row r="336" spans="73:73" x14ac:dyDescent="0.3">
      <c r="BU336" s="209"/>
    </row>
    <row r="337" spans="73:73" x14ac:dyDescent="0.3">
      <c r="BU337" s="209"/>
    </row>
    <row r="338" spans="73:73" x14ac:dyDescent="0.3">
      <c r="BU338" s="209"/>
    </row>
    <row r="339" spans="73:73" x14ac:dyDescent="0.3">
      <c r="BU339" s="209"/>
    </row>
    <row r="340" spans="73:73" x14ac:dyDescent="0.3">
      <c r="BU340" s="209"/>
    </row>
    <row r="341" spans="73:73" x14ac:dyDescent="0.3">
      <c r="BU341" s="209"/>
    </row>
    <row r="342" spans="73:73" x14ac:dyDescent="0.3">
      <c r="BU342" s="209"/>
    </row>
    <row r="343" spans="73:73" x14ac:dyDescent="0.3">
      <c r="BU343" s="209"/>
    </row>
    <row r="344" spans="73:73" x14ac:dyDescent="0.3">
      <c r="BU344" s="209"/>
    </row>
    <row r="345" spans="73:73" x14ac:dyDescent="0.3">
      <c r="BU345" s="209"/>
    </row>
    <row r="346" spans="73:73" x14ac:dyDescent="0.3">
      <c r="BU346" s="209"/>
    </row>
    <row r="347" spans="73:73" x14ac:dyDescent="0.3">
      <c r="BU347" s="209"/>
    </row>
    <row r="348" spans="73:73" x14ac:dyDescent="0.3">
      <c r="BU348" s="209"/>
    </row>
    <row r="350" spans="73:73" x14ac:dyDescent="0.3">
      <c r="BU350" s="209"/>
    </row>
    <row r="351" spans="73:73" x14ac:dyDescent="0.3">
      <c r="BU351" s="209"/>
    </row>
    <row r="352" spans="73:73" x14ac:dyDescent="0.3">
      <c r="BU352" s="209"/>
    </row>
    <row r="353" spans="73:73" x14ac:dyDescent="0.3">
      <c r="BU353" s="209"/>
    </row>
    <row r="354" spans="73:73" x14ac:dyDescent="0.3">
      <c r="BU354" s="209"/>
    </row>
    <row r="355" spans="73:73" x14ac:dyDescent="0.3">
      <c r="BU355" s="209"/>
    </row>
    <row r="356" spans="73:73" x14ac:dyDescent="0.3">
      <c r="BU356" s="209"/>
    </row>
    <row r="357" spans="73:73" x14ac:dyDescent="0.3">
      <c r="BU357" s="209"/>
    </row>
    <row r="358" spans="73:73" x14ac:dyDescent="0.3">
      <c r="BU358" s="209"/>
    </row>
    <row r="359" spans="73:73" x14ac:dyDescent="0.3">
      <c r="BU359" s="209"/>
    </row>
    <row r="360" spans="73:73" x14ac:dyDescent="0.3">
      <c r="BU360" s="209"/>
    </row>
    <row r="361" spans="73:73" x14ac:dyDescent="0.3">
      <c r="BU361" s="209"/>
    </row>
    <row r="362" spans="73:73" x14ac:dyDescent="0.3">
      <c r="BU362" s="209"/>
    </row>
    <row r="363" spans="73:73" x14ac:dyDescent="0.3">
      <c r="BU363" s="209"/>
    </row>
    <row r="364" spans="73:73" x14ac:dyDescent="0.3">
      <c r="BU364" s="209"/>
    </row>
    <row r="365" spans="73:73" x14ac:dyDescent="0.3">
      <c r="BU365" s="209"/>
    </row>
    <row r="366" spans="73:73" x14ac:dyDescent="0.3">
      <c r="BU366" s="209"/>
    </row>
    <row r="367" spans="73:73" x14ac:dyDescent="0.3">
      <c r="BU367" s="209"/>
    </row>
    <row r="368" spans="73:73" x14ac:dyDescent="0.3">
      <c r="BU368" s="209"/>
    </row>
    <row r="369" spans="73:73" x14ac:dyDescent="0.3">
      <c r="BU369" s="209"/>
    </row>
    <row r="370" spans="73:73" x14ac:dyDescent="0.3">
      <c r="BU370" s="209"/>
    </row>
    <row r="371" spans="73:73" x14ac:dyDescent="0.3">
      <c r="BU371" s="209"/>
    </row>
    <row r="372" spans="73:73" x14ac:dyDescent="0.3">
      <c r="BU372" s="209"/>
    </row>
    <row r="373" spans="73:73" x14ac:dyDescent="0.3">
      <c r="BU373" s="209"/>
    </row>
    <row r="374" spans="73:73" x14ac:dyDescent="0.3">
      <c r="BU374" s="209"/>
    </row>
    <row r="375" spans="73:73" x14ac:dyDescent="0.3">
      <c r="BU375" s="209"/>
    </row>
    <row r="376" spans="73:73" x14ac:dyDescent="0.3">
      <c r="BU376" s="209"/>
    </row>
    <row r="377" spans="73:73" x14ac:dyDescent="0.3">
      <c r="BU377" s="209"/>
    </row>
    <row r="378" spans="73:73" x14ac:dyDescent="0.3">
      <c r="BU378" s="209"/>
    </row>
    <row r="379" spans="73:73" x14ac:dyDescent="0.3">
      <c r="BU379" s="209"/>
    </row>
    <row r="380" spans="73:73" x14ac:dyDescent="0.3">
      <c r="BU380" s="209"/>
    </row>
    <row r="381" spans="73:73" x14ac:dyDescent="0.3">
      <c r="BU381" s="209"/>
    </row>
    <row r="382" spans="73:73" x14ac:dyDescent="0.3">
      <c r="BU382" s="209"/>
    </row>
    <row r="383" spans="73:73" x14ac:dyDescent="0.3">
      <c r="BU383" s="209"/>
    </row>
    <row r="384" spans="73:73" x14ac:dyDescent="0.3">
      <c r="BU384" s="209"/>
    </row>
    <row r="385" spans="73:73" x14ac:dyDescent="0.3">
      <c r="BU385" s="209"/>
    </row>
    <row r="386" spans="73:73" x14ac:dyDescent="0.3">
      <c r="BU386" s="209"/>
    </row>
    <row r="387" spans="73:73" x14ac:dyDescent="0.3">
      <c r="BU387" s="209"/>
    </row>
    <row r="388" spans="73:73" x14ac:dyDescent="0.3">
      <c r="BU388" s="209"/>
    </row>
    <row r="389" spans="73:73" x14ac:dyDescent="0.3">
      <c r="BU389" s="209"/>
    </row>
    <row r="390" spans="73:73" x14ac:dyDescent="0.3">
      <c r="BU390" s="209"/>
    </row>
    <row r="391" spans="73:73" x14ac:dyDescent="0.3">
      <c r="BU391" s="209"/>
    </row>
    <row r="392" spans="73:73" x14ac:dyDescent="0.3">
      <c r="BU392" s="209"/>
    </row>
    <row r="393" spans="73:73" x14ac:dyDescent="0.3">
      <c r="BU393" s="209"/>
    </row>
    <row r="394" spans="73:73" x14ac:dyDescent="0.3">
      <c r="BU394" s="209"/>
    </row>
    <row r="395" spans="73:73" x14ac:dyDescent="0.3">
      <c r="BU395" s="209"/>
    </row>
    <row r="396" spans="73:73" x14ac:dyDescent="0.3">
      <c r="BU396" s="209"/>
    </row>
    <row r="397" spans="73:73" x14ac:dyDescent="0.3">
      <c r="BU397" s="209"/>
    </row>
    <row r="398" spans="73:73" x14ac:dyDescent="0.3">
      <c r="BU398" s="209"/>
    </row>
    <row r="399" spans="73:73" x14ac:dyDescent="0.3">
      <c r="BU399" s="209"/>
    </row>
    <row r="400" spans="73:73" x14ac:dyDescent="0.3">
      <c r="BU400" s="209"/>
    </row>
    <row r="401" spans="73:73" x14ac:dyDescent="0.3">
      <c r="BU401" s="209"/>
    </row>
    <row r="402" spans="73:73" x14ac:dyDescent="0.3">
      <c r="BU402" s="209"/>
    </row>
    <row r="403" spans="73:73" x14ac:dyDescent="0.3">
      <c r="BU403" s="209"/>
    </row>
    <row r="404" spans="73:73" x14ac:dyDescent="0.3">
      <c r="BU404" s="209"/>
    </row>
    <row r="405" spans="73:73" x14ac:dyDescent="0.3">
      <c r="BU405" s="209"/>
    </row>
    <row r="406" spans="73:73" x14ac:dyDescent="0.3">
      <c r="BU406" s="209"/>
    </row>
    <row r="407" spans="73:73" x14ac:dyDescent="0.3">
      <c r="BU407" s="209"/>
    </row>
    <row r="408" spans="73:73" x14ac:dyDescent="0.3">
      <c r="BU408" s="209"/>
    </row>
    <row r="409" spans="73:73" x14ac:dyDescent="0.3">
      <c r="BU409" s="209"/>
    </row>
    <row r="410" spans="73:73" x14ac:dyDescent="0.3">
      <c r="BU410" s="209"/>
    </row>
    <row r="411" spans="73:73" x14ac:dyDescent="0.3">
      <c r="BU411" s="209"/>
    </row>
    <row r="412" spans="73:73" x14ac:dyDescent="0.3">
      <c r="BU412" s="209"/>
    </row>
    <row r="413" spans="73:73" x14ac:dyDescent="0.3">
      <c r="BU413" s="209"/>
    </row>
    <row r="414" spans="73:73" x14ac:dyDescent="0.3">
      <c r="BU414" s="209"/>
    </row>
    <row r="415" spans="73:73" x14ac:dyDescent="0.3">
      <c r="BU415" s="209"/>
    </row>
    <row r="416" spans="73:73" x14ac:dyDescent="0.3">
      <c r="BU416" s="209"/>
    </row>
    <row r="417" spans="73:73" x14ac:dyDescent="0.3">
      <c r="BU417" s="209"/>
    </row>
    <row r="418" spans="73:73" x14ac:dyDescent="0.3">
      <c r="BU418" s="209"/>
    </row>
    <row r="419" spans="73:73" x14ac:dyDescent="0.3">
      <c r="BU419" s="209"/>
    </row>
    <row r="420" spans="73:73" x14ac:dyDescent="0.3">
      <c r="BU420" s="209"/>
    </row>
    <row r="421" spans="73:73" x14ac:dyDescent="0.3">
      <c r="BU421" s="209"/>
    </row>
    <row r="422" spans="73:73" x14ac:dyDescent="0.3">
      <c r="BU422" s="209"/>
    </row>
    <row r="423" spans="73:73" x14ac:dyDescent="0.3">
      <c r="BU423" s="209"/>
    </row>
    <row r="424" spans="73:73" x14ac:dyDescent="0.3">
      <c r="BU424" s="209"/>
    </row>
    <row r="425" spans="73:73" x14ac:dyDescent="0.3">
      <c r="BU425" s="209"/>
    </row>
    <row r="426" spans="73:73" x14ac:dyDescent="0.3">
      <c r="BU426" s="209"/>
    </row>
    <row r="427" spans="73:73" x14ac:dyDescent="0.3">
      <c r="BU427" s="209"/>
    </row>
    <row r="428" spans="73:73" x14ac:dyDescent="0.3">
      <c r="BU428" s="209"/>
    </row>
    <row r="429" spans="73:73" x14ac:dyDescent="0.3">
      <c r="BU429" s="209"/>
    </row>
    <row r="430" spans="73:73" x14ac:dyDescent="0.3">
      <c r="BU430" s="209"/>
    </row>
    <row r="431" spans="73:73" x14ac:dyDescent="0.3">
      <c r="BU431" s="209"/>
    </row>
    <row r="432" spans="73:73" x14ac:dyDescent="0.3">
      <c r="BU432" s="209"/>
    </row>
    <row r="433" spans="73:73" x14ac:dyDescent="0.3">
      <c r="BU433" s="209"/>
    </row>
    <row r="434" spans="73:73" x14ac:dyDescent="0.3">
      <c r="BU434" s="209"/>
    </row>
    <row r="435" spans="73:73" x14ac:dyDescent="0.3">
      <c r="BU435" s="209"/>
    </row>
    <row r="436" spans="73:73" x14ac:dyDescent="0.3">
      <c r="BU436" s="209"/>
    </row>
    <row r="437" spans="73:73" x14ac:dyDescent="0.3">
      <c r="BU437" s="209"/>
    </row>
    <row r="438" spans="73:73" x14ac:dyDescent="0.3">
      <c r="BU438" s="209"/>
    </row>
    <row r="439" spans="73:73" x14ac:dyDescent="0.3">
      <c r="BU439" s="209"/>
    </row>
    <row r="440" spans="73:73" x14ac:dyDescent="0.3">
      <c r="BU440" s="209"/>
    </row>
    <row r="441" spans="73:73" x14ac:dyDescent="0.3">
      <c r="BU441" s="209"/>
    </row>
    <row r="442" spans="73:73" x14ac:dyDescent="0.3">
      <c r="BU442" s="209"/>
    </row>
    <row r="443" spans="73:73" x14ac:dyDescent="0.3">
      <c r="BU443" s="209"/>
    </row>
    <row r="444" spans="73:73" x14ac:dyDescent="0.3">
      <c r="BU444" s="209"/>
    </row>
    <row r="445" spans="73:73" x14ac:dyDescent="0.3">
      <c r="BU445" s="209"/>
    </row>
    <row r="446" spans="73:73" x14ac:dyDescent="0.3">
      <c r="BU446" s="209"/>
    </row>
    <row r="447" spans="73:73" x14ac:dyDescent="0.3">
      <c r="BU447" s="209"/>
    </row>
    <row r="448" spans="73:73" x14ac:dyDescent="0.3">
      <c r="BU448" s="209"/>
    </row>
    <row r="449" spans="73:73" x14ac:dyDescent="0.3">
      <c r="BU449" s="209"/>
    </row>
    <row r="450" spans="73:73" x14ac:dyDescent="0.3">
      <c r="BU450" s="209"/>
    </row>
    <row r="451" spans="73:73" x14ac:dyDescent="0.3">
      <c r="BU451" s="209"/>
    </row>
    <row r="452" spans="73:73" x14ac:dyDescent="0.3">
      <c r="BU452" s="209"/>
    </row>
    <row r="453" spans="73:73" x14ac:dyDescent="0.3">
      <c r="BU453" s="209"/>
    </row>
    <row r="454" spans="73:73" x14ac:dyDescent="0.3">
      <c r="BU454" s="209"/>
    </row>
    <row r="455" spans="73:73" x14ac:dyDescent="0.3">
      <c r="BU455" s="209"/>
    </row>
    <row r="456" spans="73:73" x14ac:dyDescent="0.3">
      <c r="BU456" s="209"/>
    </row>
    <row r="457" spans="73:73" x14ac:dyDescent="0.3">
      <c r="BU457" s="209"/>
    </row>
    <row r="458" spans="73:73" x14ac:dyDescent="0.3">
      <c r="BU458" s="209"/>
    </row>
    <row r="459" spans="73:73" x14ac:dyDescent="0.3">
      <c r="BU459" s="209"/>
    </row>
    <row r="460" spans="73:73" x14ac:dyDescent="0.3">
      <c r="BU460" s="209"/>
    </row>
    <row r="461" spans="73:73" x14ac:dyDescent="0.3">
      <c r="BU461" s="209"/>
    </row>
    <row r="462" spans="73:73" x14ac:dyDescent="0.3">
      <c r="BU462" s="209"/>
    </row>
    <row r="463" spans="73:73" x14ac:dyDescent="0.3">
      <c r="BU463" s="209"/>
    </row>
    <row r="464" spans="73:73" x14ac:dyDescent="0.3">
      <c r="BU464" s="209"/>
    </row>
    <row r="465" spans="73:73" x14ac:dyDescent="0.3">
      <c r="BU465" s="209"/>
    </row>
    <row r="466" spans="73:73" x14ac:dyDescent="0.3">
      <c r="BU466" s="209"/>
    </row>
    <row r="467" spans="73:73" x14ac:dyDescent="0.3">
      <c r="BU467" s="209"/>
    </row>
    <row r="468" spans="73:73" x14ac:dyDescent="0.3">
      <c r="BU468" s="209"/>
    </row>
    <row r="469" spans="73:73" x14ac:dyDescent="0.3">
      <c r="BU469" s="209"/>
    </row>
    <row r="470" spans="73:73" x14ac:dyDescent="0.3">
      <c r="BU470" s="209"/>
    </row>
    <row r="471" spans="73:73" x14ac:dyDescent="0.3">
      <c r="BU471" s="209"/>
    </row>
    <row r="472" spans="73:73" x14ac:dyDescent="0.3">
      <c r="BU472" s="209"/>
    </row>
    <row r="473" spans="73:73" x14ac:dyDescent="0.3">
      <c r="BU473" s="209"/>
    </row>
    <row r="474" spans="73:73" x14ac:dyDescent="0.3">
      <c r="BU474" s="209"/>
    </row>
    <row r="475" spans="73:73" x14ac:dyDescent="0.3">
      <c r="BU475" s="209"/>
    </row>
    <row r="476" spans="73:73" x14ac:dyDescent="0.3">
      <c r="BU476" s="209"/>
    </row>
    <row r="477" spans="73:73" x14ac:dyDescent="0.3">
      <c r="BU477" s="209"/>
    </row>
    <row r="478" spans="73:73" x14ac:dyDescent="0.3">
      <c r="BU478" s="209"/>
    </row>
    <row r="479" spans="73:73" x14ac:dyDescent="0.3">
      <c r="BU479" s="209"/>
    </row>
    <row r="480" spans="73:73" x14ac:dyDescent="0.3">
      <c r="BU480" s="209"/>
    </row>
    <row r="481" spans="73:73" x14ac:dyDescent="0.3">
      <c r="BU481" s="209"/>
    </row>
    <row r="482" spans="73:73" x14ac:dyDescent="0.3">
      <c r="BU482" s="209"/>
    </row>
    <row r="483" spans="73:73" x14ac:dyDescent="0.3">
      <c r="BU483" s="209"/>
    </row>
    <row r="484" spans="73:73" x14ac:dyDescent="0.3">
      <c r="BU484" s="209"/>
    </row>
    <row r="485" spans="73:73" x14ac:dyDescent="0.3">
      <c r="BU485" s="209"/>
    </row>
    <row r="486" spans="73:73" x14ac:dyDescent="0.3">
      <c r="BU486" s="209"/>
    </row>
    <row r="487" spans="73:73" x14ac:dyDescent="0.3">
      <c r="BU487" s="209"/>
    </row>
    <row r="488" spans="73:73" x14ac:dyDescent="0.3">
      <c r="BU488" s="209"/>
    </row>
    <row r="489" spans="73:73" x14ac:dyDescent="0.3">
      <c r="BU489" s="209"/>
    </row>
    <row r="490" spans="73:73" x14ac:dyDescent="0.3">
      <c r="BU490" s="209"/>
    </row>
    <row r="491" spans="73:73" x14ac:dyDescent="0.3">
      <c r="BU491" s="209"/>
    </row>
    <row r="492" spans="73:73" x14ac:dyDescent="0.3">
      <c r="BU492" s="209"/>
    </row>
    <row r="493" spans="73:73" x14ac:dyDescent="0.3">
      <c r="BU493" s="209"/>
    </row>
    <row r="494" spans="73:73" x14ac:dyDescent="0.3">
      <c r="BU494" s="209"/>
    </row>
    <row r="495" spans="73:73" x14ac:dyDescent="0.3">
      <c r="BU495" s="209"/>
    </row>
    <row r="496" spans="73:73" x14ac:dyDescent="0.3">
      <c r="BU496" s="209"/>
    </row>
    <row r="497" spans="73:73" x14ac:dyDescent="0.3">
      <c r="BU497" s="209"/>
    </row>
    <row r="498" spans="73:73" x14ac:dyDescent="0.3">
      <c r="BU498" s="209"/>
    </row>
    <row r="499" spans="73:73" x14ac:dyDescent="0.3">
      <c r="BU499" s="209"/>
    </row>
    <row r="500" spans="73:73" x14ac:dyDescent="0.3">
      <c r="BU500" s="209"/>
    </row>
    <row r="501" spans="73:73" x14ac:dyDescent="0.3">
      <c r="BU501" s="209"/>
    </row>
    <row r="502" spans="73:73" x14ac:dyDescent="0.3">
      <c r="BU502" s="209"/>
    </row>
    <row r="503" spans="73:73" x14ac:dyDescent="0.3">
      <c r="BU503" s="209"/>
    </row>
    <row r="504" spans="73:73" x14ac:dyDescent="0.3">
      <c r="BU504" s="209"/>
    </row>
    <row r="505" spans="73:73" x14ac:dyDescent="0.3">
      <c r="BU505" s="209"/>
    </row>
    <row r="506" spans="73:73" x14ac:dyDescent="0.3">
      <c r="BU506" s="209"/>
    </row>
    <row r="507" spans="73:73" x14ac:dyDescent="0.3">
      <c r="BU507" s="209"/>
    </row>
    <row r="508" spans="73:73" x14ac:dyDescent="0.3">
      <c r="BU508" s="209"/>
    </row>
    <row r="509" spans="73:73" x14ac:dyDescent="0.3">
      <c r="BU509" s="209"/>
    </row>
    <row r="510" spans="73:73" x14ac:dyDescent="0.3">
      <c r="BU510" s="209"/>
    </row>
    <row r="511" spans="73:73" x14ac:dyDescent="0.3">
      <c r="BU511" s="209"/>
    </row>
    <row r="512" spans="73:73" x14ac:dyDescent="0.3">
      <c r="BU512" s="209"/>
    </row>
    <row r="513" spans="73:73" x14ac:dyDescent="0.3">
      <c r="BU513" s="209"/>
    </row>
    <row r="514" spans="73:73" x14ac:dyDescent="0.3">
      <c r="BU514" s="209"/>
    </row>
    <row r="515" spans="73:73" x14ac:dyDescent="0.3">
      <c r="BU515" s="209"/>
    </row>
    <row r="516" spans="73:73" x14ac:dyDescent="0.3">
      <c r="BU516" s="209"/>
    </row>
    <row r="517" spans="73:73" x14ac:dyDescent="0.3">
      <c r="BU517" s="209"/>
    </row>
    <row r="518" spans="73:73" x14ac:dyDescent="0.3">
      <c r="BU518" s="209"/>
    </row>
    <row r="519" spans="73:73" x14ac:dyDescent="0.3">
      <c r="BU519" s="209"/>
    </row>
    <row r="520" spans="73:73" x14ac:dyDescent="0.3">
      <c r="BU520" s="209"/>
    </row>
    <row r="521" spans="73:73" x14ac:dyDescent="0.3">
      <c r="BU521" s="209"/>
    </row>
    <row r="522" spans="73:73" x14ac:dyDescent="0.3">
      <c r="BU522" s="209"/>
    </row>
    <row r="523" spans="73:73" x14ac:dyDescent="0.3">
      <c r="BU523" s="209"/>
    </row>
    <row r="524" spans="73:73" x14ac:dyDescent="0.3">
      <c r="BU524" s="209"/>
    </row>
    <row r="525" spans="73:73" x14ac:dyDescent="0.3">
      <c r="BU525" s="209"/>
    </row>
    <row r="526" spans="73:73" x14ac:dyDescent="0.3">
      <c r="BU526" s="209"/>
    </row>
    <row r="527" spans="73:73" x14ac:dyDescent="0.3">
      <c r="BU527" s="209"/>
    </row>
    <row r="528" spans="73:73" x14ac:dyDescent="0.3">
      <c r="BU528" s="209"/>
    </row>
    <row r="529" spans="73:73" x14ac:dyDescent="0.3">
      <c r="BU529" s="209"/>
    </row>
    <row r="530" spans="73:73" x14ac:dyDescent="0.3">
      <c r="BU530" s="209"/>
    </row>
    <row r="531" spans="73:73" x14ac:dyDescent="0.3">
      <c r="BU531" s="209"/>
    </row>
    <row r="532" spans="73:73" x14ac:dyDescent="0.3">
      <c r="BU532" s="209"/>
    </row>
    <row r="533" spans="73:73" x14ac:dyDescent="0.3">
      <c r="BU533" s="209"/>
    </row>
    <row r="534" spans="73:73" x14ac:dyDescent="0.3">
      <c r="BU534" s="209"/>
    </row>
    <row r="535" spans="73:73" x14ac:dyDescent="0.3">
      <c r="BU535" s="209"/>
    </row>
    <row r="536" spans="73:73" x14ac:dyDescent="0.3">
      <c r="BU536" s="209"/>
    </row>
    <row r="537" spans="73:73" x14ac:dyDescent="0.3">
      <c r="BU537" s="209"/>
    </row>
    <row r="538" spans="73:73" x14ac:dyDescent="0.3">
      <c r="BU538" s="209"/>
    </row>
    <row r="539" spans="73:73" x14ac:dyDescent="0.3">
      <c r="BU539" s="209"/>
    </row>
    <row r="540" spans="73:73" x14ac:dyDescent="0.3">
      <c r="BU540" s="209"/>
    </row>
    <row r="541" spans="73:73" x14ac:dyDescent="0.3">
      <c r="BU541" s="209"/>
    </row>
    <row r="542" spans="73:73" x14ac:dyDescent="0.3">
      <c r="BU542" s="209"/>
    </row>
    <row r="543" spans="73:73" x14ac:dyDescent="0.3">
      <c r="BU543" s="209"/>
    </row>
    <row r="544" spans="73:73" x14ac:dyDescent="0.3">
      <c r="BU544" s="209"/>
    </row>
    <row r="545" spans="73:73" x14ac:dyDescent="0.3">
      <c r="BU545" s="209"/>
    </row>
    <row r="546" spans="73:73" x14ac:dyDescent="0.3">
      <c r="BU546" s="209"/>
    </row>
    <row r="547" spans="73:73" x14ac:dyDescent="0.3">
      <c r="BU547" s="209"/>
    </row>
    <row r="548" spans="73:73" x14ac:dyDescent="0.3">
      <c r="BU548" s="209"/>
    </row>
    <row r="549" spans="73:73" x14ac:dyDescent="0.3">
      <c r="BU549" s="209"/>
    </row>
    <row r="550" spans="73:73" x14ac:dyDescent="0.3">
      <c r="BU550" s="209"/>
    </row>
    <row r="551" spans="73:73" x14ac:dyDescent="0.3">
      <c r="BU551" s="209"/>
    </row>
    <row r="552" spans="73:73" x14ac:dyDescent="0.3">
      <c r="BU552" s="209"/>
    </row>
    <row r="553" spans="73:73" x14ac:dyDescent="0.3">
      <c r="BU553" s="209"/>
    </row>
    <row r="554" spans="73:73" x14ac:dyDescent="0.3">
      <c r="BU554" s="209"/>
    </row>
    <row r="555" spans="73:73" x14ac:dyDescent="0.3">
      <c r="BU555" s="209"/>
    </row>
    <row r="556" spans="73:73" x14ac:dyDescent="0.3">
      <c r="BU556" s="209"/>
    </row>
    <row r="557" spans="73:73" x14ac:dyDescent="0.3">
      <c r="BU557" s="209"/>
    </row>
    <row r="559" spans="73:73" x14ac:dyDescent="0.3">
      <c r="BU559" s="209"/>
    </row>
    <row r="560" spans="73:73" x14ac:dyDescent="0.3">
      <c r="BU560" s="209"/>
    </row>
    <row r="561" spans="73:73" x14ac:dyDescent="0.3">
      <c r="BU561" s="209"/>
    </row>
    <row r="562" spans="73:73" x14ac:dyDescent="0.3">
      <c r="BU562" s="209"/>
    </row>
    <row r="563" spans="73:73" x14ac:dyDescent="0.3">
      <c r="BU563" s="209"/>
    </row>
    <row r="564" spans="73:73" x14ac:dyDescent="0.3">
      <c r="BU564" s="209"/>
    </row>
    <row r="565" spans="73:73" x14ac:dyDescent="0.3">
      <c r="BU565" s="209"/>
    </row>
    <row r="566" spans="73:73" x14ac:dyDescent="0.3">
      <c r="BU566" s="209"/>
    </row>
    <row r="567" spans="73:73" x14ac:dyDescent="0.3">
      <c r="BU567" s="209"/>
    </row>
    <row r="568" spans="73:73" x14ac:dyDescent="0.3">
      <c r="BU568" s="209"/>
    </row>
    <row r="569" spans="73:73" x14ac:dyDescent="0.3">
      <c r="BU569" s="209"/>
    </row>
    <row r="570" spans="73:73" x14ac:dyDescent="0.3">
      <c r="BU570" s="209"/>
    </row>
    <row r="571" spans="73:73" x14ac:dyDescent="0.3">
      <c r="BU571" s="209"/>
    </row>
    <row r="572" spans="73:73" x14ac:dyDescent="0.3">
      <c r="BU572" s="209"/>
    </row>
    <row r="573" spans="73:73" x14ac:dyDescent="0.3">
      <c r="BU573" s="209"/>
    </row>
    <row r="574" spans="73:73" x14ac:dyDescent="0.3">
      <c r="BU574" s="209"/>
    </row>
    <row r="575" spans="73:73" x14ac:dyDescent="0.3">
      <c r="BU575" s="209"/>
    </row>
    <row r="576" spans="73:73" x14ac:dyDescent="0.3">
      <c r="BU576" s="209"/>
    </row>
    <row r="577" spans="73:73" x14ac:dyDescent="0.3">
      <c r="BU577" s="209"/>
    </row>
    <row r="578" spans="73:73" x14ac:dyDescent="0.3">
      <c r="BU578" s="209"/>
    </row>
    <row r="579" spans="73:73" x14ac:dyDescent="0.3">
      <c r="BU579" s="209"/>
    </row>
    <row r="580" spans="73:73" x14ac:dyDescent="0.3">
      <c r="BU580" s="209"/>
    </row>
    <row r="581" spans="73:73" x14ac:dyDescent="0.3">
      <c r="BU581" s="209"/>
    </row>
    <row r="582" spans="73:73" x14ac:dyDescent="0.3">
      <c r="BU582" s="209"/>
    </row>
    <row r="583" spans="73:73" x14ac:dyDescent="0.3">
      <c r="BU583" s="209"/>
    </row>
    <row r="584" spans="73:73" x14ac:dyDescent="0.3">
      <c r="BU584" s="209"/>
    </row>
    <row r="585" spans="73:73" x14ac:dyDescent="0.3">
      <c r="BU585" s="209"/>
    </row>
    <row r="586" spans="73:73" x14ac:dyDescent="0.3">
      <c r="BU586" s="209"/>
    </row>
    <row r="587" spans="73:73" x14ac:dyDescent="0.3">
      <c r="BU587" s="209"/>
    </row>
    <row r="588" spans="73:73" x14ac:dyDescent="0.3">
      <c r="BU588" s="209"/>
    </row>
    <row r="589" spans="73:73" x14ac:dyDescent="0.3">
      <c r="BU589" s="209"/>
    </row>
    <row r="590" spans="73:73" x14ac:dyDescent="0.3">
      <c r="BU590" s="209"/>
    </row>
    <row r="591" spans="73:73" x14ac:dyDescent="0.3">
      <c r="BU591" s="209"/>
    </row>
    <row r="592" spans="73:73" x14ac:dyDescent="0.3">
      <c r="BU592" s="209"/>
    </row>
    <row r="594" spans="73:73" x14ac:dyDescent="0.3">
      <c r="BU594" s="209"/>
    </row>
    <row r="595" spans="73:73" x14ac:dyDescent="0.3">
      <c r="BU595" s="209"/>
    </row>
    <row r="596" spans="73:73" x14ac:dyDescent="0.3">
      <c r="BU596" s="209"/>
    </row>
    <row r="597" spans="73:73" x14ac:dyDescent="0.3">
      <c r="BU597" s="209"/>
    </row>
    <row r="598" spans="73:73" x14ac:dyDescent="0.3">
      <c r="BU598" s="209"/>
    </row>
    <row r="599" spans="73:73" x14ac:dyDescent="0.3">
      <c r="BU599" s="209"/>
    </row>
    <row r="600" spans="73:73" x14ac:dyDescent="0.3">
      <c r="BU600" s="209"/>
    </row>
    <row r="601" spans="73:73" x14ac:dyDescent="0.3">
      <c r="BU601" s="209"/>
    </row>
    <row r="602" spans="73:73" x14ac:dyDescent="0.3">
      <c r="BU602" s="209"/>
    </row>
    <row r="603" spans="73:73" x14ac:dyDescent="0.3">
      <c r="BU603" s="209"/>
    </row>
    <row r="604" spans="73:73" x14ac:dyDescent="0.3">
      <c r="BU604" s="209"/>
    </row>
    <row r="605" spans="73:73" x14ac:dyDescent="0.3">
      <c r="BU605" s="209"/>
    </row>
    <row r="606" spans="73:73" x14ac:dyDescent="0.3">
      <c r="BU606" s="209"/>
    </row>
    <row r="607" spans="73:73" x14ac:dyDescent="0.3">
      <c r="BU607" s="209"/>
    </row>
    <row r="608" spans="73:73" x14ac:dyDescent="0.3">
      <c r="BU608" s="209"/>
    </row>
    <row r="609" spans="73:73" x14ac:dyDescent="0.3">
      <c r="BU609" s="209"/>
    </row>
    <row r="610" spans="73:73" x14ac:dyDescent="0.3">
      <c r="BU610" s="209"/>
    </row>
    <row r="611" spans="73:73" x14ac:dyDescent="0.3">
      <c r="BU611" s="209"/>
    </row>
    <row r="612" spans="73:73" x14ac:dyDescent="0.3">
      <c r="BU612" s="209"/>
    </row>
    <row r="613" spans="73:73" x14ac:dyDescent="0.3">
      <c r="BU613" s="209"/>
    </row>
    <row r="614" spans="73:73" x14ac:dyDescent="0.3">
      <c r="BU614" s="209"/>
    </row>
    <row r="615" spans="73:73" x14ac:dyDescent="0.3">
      <c r="BU615" s="209"/>
    </row>
    <row r="616" spans="73:73" x14ac:dyDescent="0.3">
      <c r="BU616" s="209"/>
    </row>
    <row r="617" spans="73:73" x14ac:dyDescent="0.3">
      <c r="BU617" s="209"/>
    </row>
    <row r="618" spans="73:73" x14ac:dyDescent="0.3">
      <c r="BU618" s="209"/>
    </row>
    <row r="619" spans="73:73" x14ac:dyDescent="0.3">
      <c r="BU619" s="209"/>
    </row>
    <row r="620" spans="73:73" x14ac:dyDescent="0.3">
      <c r="BU620" s="209"/>
    </row>
    <row r="621" spans="73:73" x14ac:dyDescent="0.3">
      <c r="BU621" s="209"/>
    </row>
    <row r="622" spans="73:73" x14ac:dyDescent="0.3">
      <c r="BU622" s="209"/>
    </row>
  </sheetData>
  <sheetProtection selectLockedCells="1"/>
  <sortState ref="BE10:BN96">
    <sortCondition ref="BE10:BE96"/>
  </sortState>
  <conditionalFormatting sqref="E6">
    <cfRule type="expression" dxfId="225" priority="92">
      <formula>U6=1</formula>
    </cfRule>
  </conditionalFormatting>
  <conditionalFormatting sqref="E7">
    <cfRule type="expression" dxfId="224" priority="70">
      <formula>U7=1</formula>
    </cfRule>
  </conditionalFormatting>
  <conditionalFormatting sqref="E9">
    <cfRule type="expression" dxfId="223" priority="69">
      <formula>U9=1</formula>
    </cfRule>
  </conditionalFormatting>
  <conditionalFormatting sqref="E10">
    <cfRule type="expression" dxfId="222" priority="68">
      <formula>U10=1</formula>
    </cfRule>
  </conditionalFormatting>
  <conditionalFormatting sqref="E12">
    <cfRule type="expression" dxfId="221" priority="67">
      <formula>U12=1</formula>
    </cfRule>
  </conditionalFormatting>
  <conditionalFormatting sqref="E13">
    <cfRule type="expression" dxfId="220" priority="66">
      <formula>U13=1</formula>
    </cfRule>
  </conditionalFormatting>
  <conditionalFormatting sqref="E15">
    <cfRule type="expression" dxfId="219" priority="65">
      <formula>U15=1</formula>
    </cfRule>
  </conditionalFormatting>
  <conditionalFormatting sqref="E16">
    <cfRule type="expression" dxfId="218" priority="64">
      <formula>U16=1</formula>
    </cfRule>
  </conditionalFormatting>
  <conditionalFormatting sqref="E17">
    <cfRule type="expression" dxfId="217" priority="63">
      <formula>U17=1</formula>
    </cfRule>
  </conditionalFormatting>
  <conditionalFormatting sqref="E19">
    <cfRule type="expression" dxfId="216" priority="62">
      <formula>U19=1</formula>
    </cfRule>
  </conditionalFormatting>
  <conditionalFormatting sqref="E20">
    <cfRule type="expression" dxfId="215" priority="61">
      <formula>U20=1</formula>
    </cfRule>
  </conditionalFormatting>
  <conditionalFormatting sqref="E21">
    <cfRule type="expression" dxfId="214" priority="60">
      <formula>U21=1</formula>
    </cfRule>
  </conditionalFormatting>
  <conditionalFormatting sqref="E23">
    <cfRule type="expression" dxfId="213" priority="59">
      <formula>U23=1</formula>
    </cfRule>
  </conditionalFormatting>
  <conditionalFormatting sqref="E24">
    <cfRule type="expression" dxfId="212" priority="58">
      <formula>U24=1</formula>
    </cfRule>
  </conditionalFormatting>
  <conditionalFormatting sqref="E26">
    <cfRule type="expression" dxfId="211" priority="57">
      <formula>U26=1</formula>
    </cfRule>
  </conditionalFormatting>
  <conditionalFormatting sqref="E27">
    <cfRule type="expression" dxfId="210" priority="56">
      <formula>U27=1</formula>
    </cfRule>
  </conditionalFormatting>
  <conditionalFormatting sqref="E29">
    <cfRule type="expression" dxfId="209" priority="55">
      <formula>U29=1</formula>
    </cfRule>
  </conditionalFormatting>
  <conditionalFormatting sqref="E30">
    <cfRule type="expression" dxfId="208" priority="54">
      <formula>U30=1</formula>
    </cfRule>
  </conditionalFormatting>
  <conditionalFormatting sqref="H5:I5">
    <cfRule type="expression" dxfId="207" priority="52">
      <formula>$AI$31&gt;0</formula>
    </cfRule>
  </conditionalFormatting>
  <conditionalFormatting sqref="H10 H14 H21:H22 H25 H30 H16:H17">
    <cfRule type="expression" dxfId="206" priority="51">
      <formula>$AB$7=1</formula>
    </cfRule>
  </conditionalFormatting>
  <conditionalFormatting sqref="C22 C25 C28 D23:D30 D19">
    <cfRule type="expression" dxfId="205" priority="50">
      <formula>$AB$7=1</formula>
    </cfRule>
  </conditionalFormatting>
  <conditionalFormatting sqref="H14:H16">
    <cfRule type="expression" dxfId="204" priority="49">
      <formula>$AM$27&gt;0</formula>
    </cfRule>
  </conditionalFormatting>
  <conditionalFormatting sqref="H17">
    <cfRule type="expression" dxfId="203" priority="48">
      <formula>$AM$22&gt;0</formula>
    </cfRule>
  </conditionalFormatting>
  <conditionalFormatting sqref="B6:B7 B9:B10 B12:B13 B15:B17 B19:B21 B23:B24 B26:B27 B29:B30">
    <cfRule type="expression" dxfId="202" priority="47">
      <formula>$U$33=0</formula>
    </cfRule>
  </conditionalFormatting>
  <conditionalFormatting sqref="G6:G7">
    <cfRule type="expression" dxfId="201" priority="45">
      <formula>$AB$8&gt;1</formula>
    </cfRule>
    <cfRule type="expression" dxfId="200" priority="46">
      <formula>$AB$8=0</formula>
    </cfRule>
  </conditionalFormatting>
  <conditionalFormatting sqref="G10:G11">
    <cfRule type="expression" dxfId="199" priority="43">
      <formula>$AB$12&gt;1</formula>
    </cfRule>
    <cfRule type="expression" dxfId="198" priority="44">
      <formula>$AB$12=0</formula>
    </cfRule>
  </conditionalFormatting>
  <conditionalFormatting sqref="G14:G17">
    <cfRule type="expression" dxfId="197" priority="41">
      <formula>$AB$18&gt;1</formula>
    </cfRule>
    <cfRule type="expression" dxfId="196" priority="42">
      <formula>$AB$18=0</formula>
    </cfRule>
  </conditionalFormatting>
  <conditionalFormatting sqref="G20:G22">
    <cfRule type="expression" dxfId="195" priority="39">
      <formula>$AB$23&gt;1</formula>
    </cfRule>
    <cfRule type="expression" dxfId="194" priority="40">
      <formula>$AB$23=0</formula>
    </cfRule>
  </conditionalFormatting>
  <conditionalFormatting sqref="G25:G26">
    <cfRule type="expression" dxfId="193" priority="37">
      <formula>$AB$27&gt;1</formula>
    </cfRule>
    <cfRule type="expression" dxfId="192" priority="38">
      <formula>$AB$27=0</formula>
    </cfRule>
  </conditionalFormatting>
  <conditionalFormatting sqref="G29:G30">
    <cfRule type="expression" dxfId="191" priority="35">
      <formula>$AB$31&gt;1</formula>
    </cfRule>
    <cfRule type="expression" dxfId="190" priority="36">
      <formula>$AB$31=0</formula>
    </cfRule>
  </conditionalFormatting>
  <conditionalFormatting sqref="G33:G34">
    <cfRule type="expression" dxfId="189" priority="33">
      <formula>$AB$35&gt;1</formula>
    </cfRule>
    <cfRule type="expression" dxfId="188" priority="34">
      <formula>$AB$35=0</formula>
    </cfRule>
  </conditionalFormatting>
  <conditionalFormatting sqref="H13">
    <cfRule type="expression" dxfId="187" priority="32">
      <formula>$AQ$28&gt;0</formula>
    </cfRule>
  </conditionalFormatting>
  <conditionalFormatting sqref="H19">
    <cfRule type="expression" dxfId="186" priority="31">
      <formula>$AU$9&gt;0</formula>
    </cfRule>
  </conditionalFormatting>
  <conditionalFormatting sqref="H24">
    <cfRule type="expression" dxfId="185" priority="30">
      <formula>$AU$14&gt;1</formula>
    </cfRule>
  </conditionalFormatting>
  <conditionalFormatting sqref="F6">
    <cfRule type="expression" dxfId="184" priority="29">
      <formula>U6=0</formula>
    </cfRule>
  </conditionalFormatting>
  <conditionalFormatting sqref="F12:F13">
    <cfRule type="expression" dxfId="183" priority="25">
      <formula>U12=0</formula>
    </cfRule>
  </conditionalFormatting>
  <conditionalFormatting sqref="H7">
    <cfRule type="expression" dxfId="182" priority="19">
      <formula>$U$15+$U$19+$U$23+$U$24+$U$26+$U$27+$U$29+$U$30&gt;0</formula>
    </cfRule>
  </conditionalFormatting>
  <conditionalFormatting sqref="H22">
    <cfRule type="expression" dxfId="181" priority="18">
      <formula>$AU$16&gt;0</formula>
    </cfRule>
  </conditionalFormatting>
  <conditionalFormatting sqref="H20:H21">
    <cfRule type="expression" dxfId="180" priority="17">
      <formula>$AU$17&gt;0</formula>
    </cfRule>
  </conditionalFormatting>
  <conditionalFormatting sqref="F7">
    <cfRule type="expression" dxfId="179" priority="16">
      <formula>U7=0</formula>
    </cfRule>
  </conditionalFormatting>
  <conditionalFormatting sqref="F9">
    <cfRule type="expression" dxfId="178" priority="15">
      <formula>U9=0</formula>
    </cfRule>
  </conditionalFormatting>
  <conditionalFormatting sqref="F10">
    <cfRule type="expression" dxfId="177" priority="14">
      <formula>U10=0</formula>
    </cfRule>
  </conditionalFormatting>
  <conditionalFormatting sqref="F15">
    <cfRule type="expression" dxfId="176" priority="13">
      <formula>U15=0</formula>
    </cfRule>
  </conditionalFormatting>
  <conditionalFormatting sqref="F19">
    <cfRule type="expression" dxfId="175" priority="12">
      <formula>U19=0</formula>
    </cfRule>
  </conditionalFormatting>
  <conditionalFormatting sqref="F20">
    <cfRule type="expression" dxfId="174" priority="11">
      <formula>U20=0</formula>
    </cfRule>
  </conditionalFormatting>
  <conditionalFormatting sqref="F21">
    <cfRule type="expression" dxfId="173" priority="10">
      <formula>U21=0</formula>
    </cfRule>
  </conditionalFormatting>
  <conditionalFormatting sqref="F23">
    <cfRule type="expression" dxfId="172" priority="9">
      <formula>U23=0</formula>
    </cfRule>
  </conditionalFormatting>
  <conditionalFormatting sqref="F24">
    <cfRule type="expression" dxfId="171" priority="8">
      <formula>U24=0</formula>
    </cfRule>
  </conditionalFormatting>
  <conditionalFormatting sqref="F26">
    <cfRule type="expression" dxfId="170" priority="7">
      <formula>U26=0</formula>
    </cfRule>
  </conditionalFormatting>
  <conditionalFormatting sqref="F27">
    <cfRule type="expression" dxfId="169" priority="6">
      <formula>U27=0</formula>
    </cfRule>
  </conditionalFormatting>
  <conditionalFormatting sqref="F29">
    <cfRule type="expression" dxfId="168" priority="5">
      <formula>U29=0</formula>
    </cfRule>
  </conditionalFormatting>
  <conditionalFormatting sqref="F30">
    <cfRule type="expression" dxfId="167" priority="4">
      <formula>U30=0</formula>
    </cfRule>
  </conditionalFormatting>
  <conditionalFormatting sqref="F16">
    <cfRule type="expression" dxfId="166" priority="3">
      <formula>U16=0</formula>
    </cfRule>
  </conditionalFormatting>
  <conditionalFormatting sqref="F17">
    <cfRule type="expression" dxfId="165" priority="2">
      <formula>U17=0</formula>
    </cfRule>
  </conditionalFormatting>
  <conditionalFormatting sqref="H26">
    <cfRule type="expression" dxfId="164" priority="1">
      <formula>$AM$27&gt;0</formula>
    </cfRule>
  </conditionalFormatting>
  <pageMargins left="0.7" right="0.7" top="0.75" bottom="0.75" header="0.3" footer="0.3"/>
  <pageSetup scale="98"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M831"/>
  <sheetViews>
    <sheetView zoomScaleNormal="100" workbookViewId="0">
      <selection activeCell="B3" sqref="B3"/>
    </sheetView>
  </sheetViews>
  <sheetFormatPr defaultRowHeight="14.4" x14ac:dyDescent="0.3"/>
  <cols>
    <col min="1" max="1" width="3.33203125" style="247" customWidth="1"/>
    <col min="2" max="2" width="4.44140625" style="247" customWidth="1"/>
    <col min="3" max="3" width="16.5546875" style="247" bestFit="1" customWidth="1"/>
    <col min="4" max="4" width="1.88671875" style="248" customWidth="1"/>
    <col min="5" max="5" width="1.33203125" style="248" customWidth="1"/>
    <col min="6" max="6" width="3.6640625" style="247" customWidth="1"/>
    <col min="7" max="7" width="24" style="247" bestFit="1" customWidth="1"/>
    <col min="8" max="8" width="4.44140625" style="247" customWidth="1"/>
    <col min="9" max="9" width="4.5546875" style="247" customWidth="1"/>
    <col min="10" max="10" width="9.109375" style="247"/>
    <col min="11" max="11" width="5.5546875" style="247" customWidth="1"/>
    <col min="12" max="12" width="9" style="247" customWidth="1"/>
    <col min="13" max="14" width="9.109375" style="247"/>
    <col min="15" max="15" width="9.109375" style="250"/>
    <col min="16" max="16" width="9" style="250" customWidth="1"/>
    <col min="17" max="33" width="9.109375" style="250"/>
    <col min="34" max="34" width="9.109375" hidden="1" customWidth="1"/>
    <col min="35" max="35" width="6.44140625" hidden="1" customWidth="1"/>
    <col min="36" max="36" width="2.44140625" hidden="1" customWidth="1"/>
    <col min="37" max="39" width="9.109375" hidden="1" customWidth="1"/>
    <col min="40" max="40" width="3" hidden="1" customWidth="1"/>
    <col min="41" max="41" width="7.88671875" hidden="1" customWidth="1"/>
    <col min="42" max="42" width="17.33203125" hidden="1" customWidth="1"/>
    <col min="43" max="43" width="3.88671875" hidden="1" customWidth="1"/>
    <col min="44" max="44" width="10.5546875" hidden="1" customWidth="1"/>
    <col min="45" max="45" width="6.109375" hidden="1" customWidth="1"/>
    <col min="46" max="46" width="5.6640625" hidden="1" customWidth="1"/>
    <col min="47" max="47" width="7.88671875" hidden="1" customWidth="1"/>
    <col min="48" max="48" width="1.44140625" hidden="1" customWidth="1"/>
    <col min="49" max="49" width="28.44140625" hidden="1" customWidth="1"/>
    <col min="50" max="50" width="11.5546875" style="2" hidden="1" customWidth="1"/>
    <col min="51" max="51" width="11" style="2" hidden="1" customWidth="1"/>
    <col min="52" max="52" width="22.88671875" hidden="1" customWidth="1"/>
    <col min="53" max="53" width="17.33203125" hidden="1" customWidth="1"/>
    <col min="54" max="54" width="23.6640625" hidden="1" customWidth="1"/>
    <col min="55" max="55" width="7.44140625" hidden="1" customWidth="1"/>
    <col min="56" max="56" width="19" hidden="1" customWidth="1"/>
    <col min="57" max="57" width="19.33203125" hidden="1" customWidth="1"/>
    <col min="58" max="58" width="19.44140625" hidden="1" customWidth="1"/>
    <col min="59" max="59" width="31" hidden="1" customWidth="1"/>
    <col min="60" max="60" width="13.109375" hidden="1" customWidth="1"/>
    <col min="61" max="61" width="16.33203125" hidden="1" customWidth="1"/>
    <col min="62" max="62" width="23.33203125" hidden="1" customWidth="1"/>
    <col min="63" max="63" width="16.33203125" hidden="1" customWidth="1"/>
    <col min="64" max="64" width="12.6640625" hidden="1" customWidth="1"/>
    <col min="65" max="65" width="18.6640625" hidden="1" customWidth="1"/>
    <col min="66" max="66" width="30" hidden="1" customWidth="1"/>
    <col min="67" max="67" width="19.44140625" hidden="1" customWidth="1"/>
    <col min="68" max="68" width="16.33203125" hidden="1" customWidth="1"/>
    <col min="69" max="69" width="9.109375" hidden="1" customWidth="1"/>
    <col min="70" max="70" width="12.33203125" hidden="1" customWidth="1"/>
    <col min="71" max="71" width="8.109375" hidden="1" customWidth="1"/>
    <col min="72" max="72" width="8.6640625" style="2" hidden="1" customWidth="1"/>
    <col min="73" max="73" width="4.5546875" hidden="1" customWidth="1"/>
    <col min="74" max="74" width="8.6640625" hidden="1" customWidth="1"/>
    <col min="75" max="75" width="9.44140625" hidden="1" customWidth="1"/>
    <col min="76" max="76" width="6.44140625" hidden="1" customWidth="1"/>
    <col min="77" max="77" width="7.6640625" hidden="1" customWidth="1"/>
    <col min="78" max="78" width="5.33203125" hidden="1" customWidth="1"/>
    <col min="79" max="80" width="9.109375" hidden="1" customWidth="1"/>
    <col min="81" max="81" width="7.33203125" hidden="1" customWidth="1"/>
    <col min="82" max="82" width="9.109375" hidden="1" customWidth="1"/>
    <col min="83" max="83" width="18.109375" hidden="1" customWidth="1"/>
    <col min="84" max="84" width="31" hidden="1" customWidth="1"/>
    <col min="85" max="85" width="9.109375" style="42" hidden="1" customWidth="1"/>
    <col min="86" max="86" width="17" style="42" hidden="1" customWidth="1"/>
    <col min="87" max="87" width="22.5546875" hidden="1" customWidth="1"/>
    <col min="88" max="88" width="9.109375" hidden="1" customWidth="1"/>
    <col min="89" max="89" width="12" hidden="1" customWidth="1"/>
    <col min="90" max="90" width="35.6640625" hidden="1" customWidth="1"/>
    <col min="91" max="91" width="4.6640625" hidden="1" customWidth="1"/>
    <col min="92" max="92" width="11.6640625" hidden="1" customWidth="1"/>
    <col min="93" max="93" width="17.33203125" hidden="1" customWidth="1"/>
    <col min="94" max="94" width="4.6640625" hidden="1" customWidth="1"/>
    <col min="95" max="95" width="16.33203125" hidden="1" customWidth="1"/>
    <col min="96" max="96" width="30" hidden="1" customWidth="1"/>
    <col min="97" max="97" width="4.6640625" hidden="1" customWidth="1"/>
    <col min="98" max="98" width="21.6640625" hidden="1" customWidth="1"/>
    <col min="99" max="99" width="21.44140625" hidden="1" customWidth="1"/>
    <col min="100" max="100" width="4.6640625" hidden="1" customWidth="1"/>
    <col min="101" max="101" width="17.33203125" hidden="1" customWidth="1"/>
    <col min="102" max="102" width="24.6640625" hidden="1" customWidth="1"/>
    <col min="103" max="103" width="2" hidden="1" customWidth="1"/>
    <col min="104" max="104" width="20.6640625" hidden="1" customWidth="1"/>
    <col min="105" max="105" width="7.109375" hidden="1" customWidth="1"/>
    <col min="106" max="106" width="11.109375" hidden="1" customWidth="1"/>
    <col min="107" max="107" width="7.6640625" hidden="1" customWidth="1"/>
    <col min="108" max="108" width="7.33203125" hidden="1" customWidth="1"/>
    <col min="109" max="109" width="5.33203125" hidden="1" customWidth="1"/>
    <col min="110" max="110" width="8.33203125" hidden="1" customWidth="1"/>
    <col min="111" max="111" width="6.88671875" hidden="1" customWidth="1"/>
    <col min="112" max="112" width="5.88671875" hidden="1" customWidth="1"/>
    <col min="113" max="113" width="6.44140625" hidden="1" customWidth="1"/>
    <col min="114" max="114" width="7" hidden="1" customWidth="1"/>
    <col min="115" max="116" width="6.33203125" hidden="1" customWidth="1"/>
    <col min="117" max="117" width="4.5546875" hidden="1" customWidth="1"/>
    <col min="118" max="121" width="9.109375" hidden="1" customWidth="1"/>
    <col min="122" max="122" width="12.33203125" hidden="1" customWidth="1"/>
    <col min="123" max="123" width="9.109375" hidden="1" customWidth="1"/>
    <col min="124" max="124" width="34.33203125" hidden="1" customWidth="1"/>
    <col min="125" max="125" width="8.44140625" hidden="1" customWidth="1"/>
    <col min="126" max="126" width="11.109375" hidden="1" customWidth="1"/>
    <col min="137" max="137" width="22.33203125" customWidth="1"/>
    <col min="138" max="138" width="32.88671875" customWidth="1"/>
    <col min="139" max="139" width="1.5546875" customWidth="1"/>
    <col min="140" max="140" width="18.44140625" bestFit="1" customWidth="1"/>
    <col min="141" max="141" width="25.109375" bestFit="1" customWidth="1"/>
  </cols>
  <sheetData>
    <row r="1" spans="1:143" ht="15.6" x14ac:dyDescent="0.3">
      <c r="A1" s="51"/>
      <c r="B1" s="56" t="s">
        <v>1256</v>
      </c>
      <c r="C1" s="51"/>
      <c r="D1" s="52"/>
      <c r="E1" s="52"/>
      <c r="G1" s="51" t="s">
        <v>271</v>
      </c>
      <c r="H1" s="51"/>
      <c r="I1" s="51"/>
      <c r="J1" s="177" t="s">
        <v>623</v>
      </c>
      <c r="K1" s="392"/>
      <c r="L1" s="392"/>
      <c r="M1" s="392"/>
      <c r="N1" s="392"/>
      <c r="O1" s="177" t="s">
        <v>5</v>
      </c>
      <c r="P1" s="393"/>
      <c r="Q1" s="393"/>
      <c r="R1" s="53"/>
      <c r="S1" s="53"/>
      <c r="T1" s="53"/>
      <c r="U1" s="53"/>
      <c r="V1" s="53"/>
      <c r="W1" s="53"/>
      <c r="X1" s="53"/>
      <c r="Y1" s="53"/>
      <c r="Z1" s="53"/>
      <c r="AA1" s="53"/>
      <c r="AB1" s="53"/>
      <c r="AC1" s="53"/>
      <c r="AD1" s="53"/>
      <c r="AE1" s="53"/>
      <c r="AF1" s="53"/>
      <c r="AG1" s="53"/>
      <c r="AH1" s="152"/>
      <c r="AI1" s="152"/>
      <c r="AJ1" s="152"/>
      <c r="AK1" s="152"/>
      <c r="AL1" s="152"/>
      <c r="AM1" s="152"/>
      <c r="AN1" s="152"/>
      <c r="AO1" s="152"/>
      <c r="AP1" s="152"/>
      <c r="AQ1" s="152"/>
      <c r="AR1" s="191"/>
      <c r="AS1" s="215"/>
      <c r="AT1" s="215"/>
      <c r="AU1" s="152"/>
      <c r="AV1" s="191"/>
      <c r="AW1" s="191"/>
      <c r="AX1" s="216"/>
      <c r="AY1" s="216"/>
      <c r="AZ1" s="152"/>
      <c r="BA1" s="152"/>
      <c r="BB1" s="152"/>
      <c r="BC1" s="152"/>
      <c r="BD1" s="152"/>
      <c r="BE1" s="152"/>
      <c r="BF1" s="152"/>
      <c r="BG1" s="152"/>
      <c r="BH1" s="152"/>
      <c r="BI1" s="152"/>
      <c r="BJ1" s="152"/>
      <c r="BK1" s="152"/>
      <c r="BL1" s="152"/>
      <c r="BM1" s="152"/>
      <c r="BN1" s="152"/>
      <c r="BO1" s="152"/>
      <c r="BP1" s="152"/>
      <c r="BQ1" s="152"/>
      <c r="BR1" s="188" t="s">
        <v>224</v>
      </c>
      <c r="BS1" s="152"/>
      <c r="BT1" s="31" t="s">
        <v>3</v>
      </c>
      <c r="BU1" s="152"/>
      <c r="BV1" s="31" t="s">
        <v>229</v>
      </c>
      <c r="BW1" s="152" t="s">
        <v>9</v>
      </c>
      <c r="BX1" s="31" t="s">
        <v>30</v>
      </c>
      <c r="BY1" s="152" t="s">
        <v>237</v>
      </c>
      <c r="BZ1" s="152"/>
      <c r="CA1" s="152"/>
      <c r="CB1" s="152"/>
      <c r="CC1" s="152" t="s">
        <v>240</v>
      </c>
      <c r="CD1" s="152"/>
      <c r="CE1" s="189" t="s">
        <v>404</v>
      </c>
      <c r="CF1" s="152"/>
      <c r="CG1" s="190"/>
      <c r="CH1" s="189" t="s">
        <v>404</v>
      </c>
      <c r="CI1" s="152"/>
      <c r="CJ1" s="152"/>
      <c r="CK1" s="189" t="s">
        <v>404</v>
      </c>
      <c r="CL1" s="152"/>
      <c r="CM1" s="152"/>
      <c r="CN1" s="189" t="s">
        <v>404</v>
      </c>
      <c r="CO1" s="152"/>
      <c r="CP1" s="152"/>
      <c r="CQ1" s="189" t="s">
        <v>404</v>
      </c>
      <c r="CR1" s="152"/>
      <c r="CS1" s="190"/>
      <c r="CT1" s="189" t="s">
        <v>404</v>
      </c>
      <c r="CU1" s="152"/>
      <c r="CV1" s="152"/>
      <c r="CW1" s="189" t="s">
        <v>404</v>
      </c>
      <c r="CX1" s="152"/>
      <c r="CY1" s="152"/>
      <c r="CZ1" s="152"/>
      <c r="DA1" s="152"/>
      <c r="DB1" s="189" t="s">
        <v>511</v>
      </c>
      <c r="DC1" s="152"/>
      <c r="DD1" s="152"/>
      <c r="DE1" s="152"/>
      <c r="DF1" s="152"/>
      <c r="DG1" s="152"/>
      <c r="DH1" s="152"/>
      <c r="DI1" s="152"/>
      <c r="DJ1" s="152"/>
      <c r="DK1" s="152"/>
      <c r="DL1" s="152"/>
      <c r="DM1" s="152"/>
      <c r="DN1" s="152"/>
      <c r="DO1" s="152"/>
      <c r="DP1" s="152"/>
      <c r="DQ1" s="152"/>
      <c r="DR1" s="152"/>
      <c r="DS1" s="191"/>
      <c r="DT1" s="191"/>
      <c r="DU1" s="191"/>
      <c r="DV1" s="152"/>
      <c r="EG1" s="70" t="s">
        <v>406</v>
      </c>
    </row>
    <row r="2" spans="1:143" ht="18" customHeight="1" x14ac:dyDescent="0.3">
      <c r="A2" s="51"/>
      <c r="B2" s="51"/>
      <c r="C2" s="57" t="s">
        <v>218</v>
      </c>
      <c r="D2" s="58"/>
      <c r="E2" s="58"/>
      <c r="F2" s="65" t="s">
        <v>3</v>
      </c>
      <c r="G2" s="71"/>
      <c r="H2" s="65" t="str">
        <f>IF(AU68+AR69+AU71&gt;0,"BD Hoop Accent","Bass Hoop Inlay")</f>
        <v>Bass Hoop Inlay</v>
      </c>
      <c r="I2" s="51"/>
      <c r="J2" s="51"/>
      <c r="K2" s="51"/>
      <c r="L2" s="55" t="s">
        <v>143</v>
      </c>
      <c r="M2" s="55" t="s">
        <v>141</v>
      </c>
      <c r="N2" s="55" t="s">
        <v>144</v>
      </c>
      <c r="O2" s="55" t="s">
        <v>332</v>
      </c>
      <c r="P2" s="55" t="s">
        <v>141</v>
      </c>
      <c r="Q2"/>
      <c r="R2" s="53"/>
      <c r="S2" s="53"/>
      <c r="T2" s="53"/>
      <c r="U2" s="53"/>
      <c r="V2" s="53"/>
      <c r="W2" s="53"/>
      <c r="X2" s="53"/>
      <c r="Y2" s="53"/>
      <c r="Z2" s="53"/>
      <c r="AA2" s="53"/>
      <c r="AB2" s="53"/>
      <c r="AC2" s="53"/>
      <c r="AD2" s="53"/>
      <c r="AE2" s="53"/>
      <c r="AF2" s="53"/>
      <c r="AG2" s="53"/>
      <c r="AJ2" t="s">
        <v>384</v>
      </c>
      <c r="AO2" t="s">
        <v>204</v>
      </c>
      <c r="AP2" t="s">
        <v>205</v>
      </c>
      <c r="AQ2" t="s">
        <v>206</v>
      </c>
      <c r="AR2" s="11" t="s">
        <v>217</v>
      </c>
      <c r="AS2" s="22" t="s">
        <v>142</v>
      </c>
      <c r="AT2" s="22" t="s">
        <v>504</v>
      </c>
      <c r="AU2" t="s">
        <v>204</v>
      </c>
      <c r="AV2" s="38"/>
      <c r="AW2" s="246" t="s">
        <v>3</v>
      </c>
      <c r="AX2" s="22" t="s">
        <v>219</v>
      </c>
      <c r="AY2" s="22" t="s">
        <v>220</v>
      </c>
      <c r="BA2" s="11"/>
      <c r="BB2" s="11" t="s">
        <v>132</v>
      </c>
      <c r="BE2" s="4" t="s">
        <v>143</v>
      </c>
      <c r="BF2" s="4" t="s">
        <v>141</v>
      </c>
      <c r="BG2" s="4" t="s">
        <v>144</v>
      </c>
      <c r="BH2" s="142" t="s">
        <v>332</v>
      </c>
      <c r="BI2" s="142" t="s">
        <v>141</v>
      </c>
      <c r="BJ2" s="38"/>
      <c r="BL2" s="4"/>
      <c r="BR2" s="2" t="s">
        <v>225</v>
      </c>
      <c r="BS2" s="2" t="s">
        <v>226</v>
      </c>
      <c r="BT2" s="2" t="s">
        <v>227</v>
      </c>
      <c r="BU2" s="2" t="s">
        <v>32</v>
      </c>
      <c r="BV2" s="2" t="s">
        <v>230</v>
      </c>
      <c r="BW2" s="2" t="s">
        <v>231</v>
      </c>
      <c r="BX2" s="2" t="s">
        <v>236</v>
      </c>
      <c r="BY2" s="2" t="s">
        <v>1209</v>
      </c>
      <c r="BZ2" s="2" t="s">
        <v>151</v>
      </c>
      <c r="CA2" s="222" t="s">
        <v>25</v>
      </c>
      <c r="CB2" s="222" t="s">
        <v>22</v>
      </c>
      <c r="CC2" s="2" t="s">
        <v>241</v>
      </c>
      <c r="CS2" s="121"/>
      <c r="DD2" t="s">
        <v>325</v>
      </c>
      <c r="DE2" t="s">
        <v>2</v>
      </c>
      <c r="DF2" t="s">
        <v>566</v>
      </c>
      <c r="DG2" t="s">
        <v>3</v>
      </c>
      <c r="DH2" t="s">
        <v>32</v>
      </c>
      <c r="DI2" t="s">
        <v>567</v>
      </c>
      <c r="DJ2" t="s">
        <v>568</v>
      </c>
      <c r="DK2" t="s">
        <v>615</v>
      </c>
      <c r="DL2" t="s">
        <v>616</v>
      </c>
      <c r="DR2" s="8" t="s">
        <v>910</v>
      </c>
      <c r="DT2" s="11" t="s">
        <v>979</v>
      </c>
      <c r="DU2" s="22" t="s">
        <v>227</v>
      </c>
      <c r="DV2" t="s">
        <v>911</v>
      </c>
      <c r="EG2" s="66" t="str">
        <f>IF(AQ67=1,"Bass Drum",CONCATENATE(AQ67," Bass Drums Chosen"))</f>
        <v>0 Bass Drums Chosen</v>
      </c>
      <c r="EH2" s="187" t="s">
        <v>639</v>
      </c>
      <c r="EI2" s="87"/>
      <c r="EJ2" s="91"/>
      <c r="EK2" s="92"/>
      <c r="EM2" t="s">
        <v>398</v>
      </c>
    </row>
    <row r="3" spans="1:143" ht="15" customHeight="1" x14ac:dyDescent="0.3">
      <c r="A3" s="395" t="str">
        <f>IF(AZ69=1,"L X B D C U S T O M","L C B D C U S T O M")</f>
        <v>L C B D C U S T O M</v>
      </c>
      <c r="B3" s="232"/>
      <c r="C3" s="72" t="s">
        <v>1017</v>
      </c>
      <c r="D3" s="73"/>
      <c r="E3" s="75"/>
      <c r="F3" s="95"/>
      <c r="G3" s="55" t="s">
        <v>119</v>
      </c>
      <c r="H3" s="339"/>
      <c r="I3" s="51"/>
      <c r="J3" s="51"/>
      <c r="K3" s="154" t="s">
        <v>6</v>
      </c>
      <c r="L3" s="55" t="s">
        <v>142</v>
      </c>
      <c r="M3" s="55" t="s">
        <v>142</v>
      </c>
      <c r="N3" s="55" t="s">
        <v>145</v>
      </c>
      <c r="O3" s="55" t="s">
        <v>333</v>
      </c>
      <c r="P3" s="55" t="s">
        <v>333</v>
      </c>
      <c r="Q3" s="55" t="s">
        <v>148</v>
      </c>
      <c r="R3" s="53"/>
      <c r="S3" s="53"/>
      <c r="T3" s="53"/>
      <c r="U3" s="53"/>
      <c r="V3" s="53"/>
      <c r="W3" s="53"/>
      <c r="X3" s="53"/>
      <c r="Y3" s="53"/>
      <c r="Z3" s="53"/>
      <c r="AA3" s="53"/>
      <c r="AB3" s="53"/>
      <c r="AC3" s="53"/>
      <c r="AD3" s="53"/>
      <c r="AE3" s="53"/>
      <c r="AF3" s="53"/>
      <c r="AG3" s="53"/>
      <c r="AJ3" t="str">
        <f t="shared" ref="AJ3:AJ26" si="0">IF(AQ3&gt;0,CONCATENATE("qty ",AQ3,") ",AR3,"   "),"")</f>
        <v/>
      </c>
      <c r="AN3" s="222" t="s">
        <v>211</v>
      </c>
      <c r="AO3" s="9">
        <f t="shared" ref="AO3:AO6" si="1">IF(B3="",0,1)</f>
        <v>0</v>
      </c>
      <c r="AP3" s="16" t="b">
        <f t="shared" ref="AP3:AP6" si="2">ISNUMBER(B3)</f>
        <v>0</v>
      </c>
      <c r="AQ3" s="16">
        <f t="shared" ref="AQ3:AQ6" si="3">IF(AP3=TRUE,B3,AO3)</f>
        <v>0</v>
      </c>
      <c r="AR3" s="221" t="s">
        <v>1018</v>
      </c>
      <c r="AS3" s="24">
        <v>2265</v>
      </c>
      <c r="AT3" s="24">
        <f t="shared" ref="AT3:AT32" si="4">+AS3+200</f>
        <v>2465</v>
      </c>
      <c r="AU3" s="9">
        <f>IF(F3="",0,1)</f>
        <v>0</v>
      </c>
      <c r="AV3" s="17"/>
      <c r="AW3" s="142" t="s">
        <v>119</v>
      </c>
      <c r="AX3" s="35">
        <v>0</v>
      </c>
      <c r="AY3" s="35">
        <v>0</v>
      </c>
      <c r="BA3" s="9">
        <f>IF(H3="",0,1)</f>
        <v>0</v>
      </c>
      <c r="BB3" s="236" t="s">
        <v>119</v>
      </c>
      <c r="BE3" s="4" t="s">
        <v>142</v>
      </c>
      <c r="BF3" s="4" t="s">
        <v>142</v>
      </c>
      <c r="BG3" s="4" t="s">
        <v>145</v>
      </c>
      <c r="BH3" s="142" t="s">
        <v>333</v>
      </c>
      <c r="BI3" s="142" t="s">
        <v>333</v>
      </c>
      <c r="BJ3" s="142" t="s">
        <v>148</v>
      </c>
      <c r="BK3" s="4" t="s">
        <v>204</v>
      </c>
      <c r="BL3" s="35" t="s">
        <v>228</v>
      </c>
      <c r="BR3" s="33">
        <f t="shared" ref="BR3:BR58" si="5">AU3*AX3</f>
        <v>0</v>
      </c>
      <c r="BS3" s="33">
        <f>AU3*AY3</f>
        <v>0</v>
      </c>
      <c r="BT3" s="2">
        <f t="shared" ref="BT3:BT34" si="6">+$BR$60</f>
        <v>0</v>
      </c>
      <c r="BU3">
        <f>+$BL$5</f>
        <v>0</v>
      </c>
      <c r="BV3">
        <f t="shared" ref="BV3:BV22" si="7">+$BF$33</f>
        <v>0</v>
      </c>
      <c r="BW3">
        <f t="shared" ref="BW3:BW22" si="8">+$BM$17</f>
        <v>0</v>
      </c>
      <c r="BX3">
        <f t="shared" ref="BX3:BX22" si="9">+$BA$66</f>
        <v>0</v>
      </c>
      <c r="BY3">
        <f>+$BE$12+$BI$13</f>
        <v>0</v>
      </c>
      <c r="BZ3">
        <f t="shared" ref="BZ3:BZ8" si="10">IF($BD$16=1,$DU$10,0)</f>
        <v>0</v>
      </c>
      <c r="CA3">
        <f t="shared" ref="CA3:CA32" si="11">$AY$86</f>
        <v>0</v>
      </c>
      <c r="CB3">
        <f t="shared" ref="CB3:CB22" si="12">$AX$77</f>
        <v>0</v>
      </c>
      <c r="CC3">
        <f>SUM(BT3:CB3)</f>
        <v>0</v>
      </c>
      <c r="CE3" s="107" t="s">
        <v>407</v>
      </c>
      <c r="CF3" s="107"/>
      <c r="CH3" s="129" t="s">
        <v>423</v>
      </c>
      <c r="CI3" s="130"/>
      <c r="CK3" s="118" t="s">
        <v>405</v>
      </c>
      <c r="CL3" s="119"/>
      <c r="CN3" s="118" t="s">
        <v>442</v>
      </c>
      <c r="CO3" s="119"/>
      <c r="CQ3" s="118" t="s">
        <v>462</v>
      </c>
      <c r="CR3" s="119"/>
      <c r="CS3" s="121"/>
      <c r="CT3" s="118" t="s">
        <v>474</v>
      </c>
      <c r="CU3" s="119"/>
      <c r="CW3" s="118" t="s">
        <v>1163</v>
      </c>
      <c r="CX3" s="119"/>
      <c r="DA3">
        <f t="shared" ref="DA3:DA6" si="13">+AO3</f>
        <v>0</v>
      </c>
      <c r="DB3" s="221" t="s">
        <v>1018</v>
      </c>
      <c r="DC3" s="165" t="s">
        <v>1022</v>
      </c>
      <c r="DD3" t="str">
        <f t="shared" ref="DD3:DD22" si="14">IF($AZ$69=1,CONCATENATE("LLB4",DC3),CONCATENATE("LLB3",DC3))</f>
        <v>LLB328</v>
      </c>
      <c r="DE3" t="e">
        <f t="shared" ref="DE3:DE8" si="15">VLOOKUP(1,DA3:DD3,4,FALSE)</f>
        <v>#N/A</v>
      </c>
      <c r="DF3" t="e">
        <f t="shared" ref="DF3:DF22" si="16">VLOOKUP(1,$BD$20:$BH$32,5,FALSE)</f>
        <v>#N/A</v>
      </c>
      <c r="DG3" t="e">
        <f>LEFT(VLOOKUP(1,$AU$3:$AW$54,3,FALSE),2)</f>
        <v>#N/A</v>
      </c>
      <c r="DH3" t="e">
        <f t="shared" ref="DH3:DH22" si="17">IF($BE$5=1,"",VLOOKUP(1,$DD$73:$DE$74,2,FALSE))</f>
        <v>#N/A</v>
      </c>
      <c r="DI3" t="str">
        <f t="shared" ref="DI3:DI32" si="18">IF($BD$16=1,"B Cstm  "," Cstm  ")</f>
        <v xml:space="preserve"> Cstm  </v>
      </c>
      <c r="DJ3" t="e">
        <f t="shared" ref="DJ3:DJ32" si="19">CONCATENATE(DE3,DF3,DG3,DH3,DI3)</f>
        <v>#N/A</v>
      </c>
      <c r="DK3" t="b">
        <f>ISERROR(DJ3)</f>
        <v>1</v>
      </c>
      <c r="DL3" t="str">
        <f>IF(DK3=FALSE,DJ3,"")</f>
        <v/>
      </c>
      <c r="DR3" s="212" t="s">
        <v>912</v>
      </c>
      <c r="DT3" t="s">
        <v>648</v>
      </c>
      <c r="DU3" s="39">
        <v>30</v>
      </c>
      <c r="DV3" s="181" t="s">
        <v>946</v>
      </c>
      <c r="EG3" s="390" t="str">
        <f>+DM22</f>
        <v/>
      </c>
      <c r="EH3" s="390"/>
      <c r="EI3" s="390"/>
      <c r="EJ3" s="390"/>
      <c r="EK3" s="390"/>
      <c r="EM3" t="s">
        <v>398</v>
      </c>
    </row>
    <row r="4" spans="1:143" x14ac:dyDescent="0.3">
      <c r="A4" s="396"/>
      <c r="B4" s="232"/>
      <c r="C4" s="74" t="s">
        <v>43</v>
      </c>
      <c r="D4" s="75"/>
      <c r="E4" s="75"/>
      <c r="F4" s="95"/>
      <c r="G4" s="55" t="s">
        <v>131</v>
      </c>
      <c r="H4" s="339"/>
      <c r="I4" s="51"/>
      <c r="J4" s="117" t="s">
        <v>459</v>
      </c>
      <c r="K4" s="61" t="s">
        <v>42</v>
      </c>
      <c r="L4" s="99"/>
      <c r="M4" s="84"/>
      <c r="N4" s="84"/>
      <c r="O4" s="115"/>
      <c r="P4" s="116"/>
      <c r="Q4" s="116"/>
      <c r="R4" s="53"/>
      <c r="S4" s="53"/>
      <c r="T4" s="53"/>
      <c r="U4" s="53"/>
      <c r="V4" s="53"/>
      <c r="W4" s="53"/>
      <c r="X4" s="53"/>
      <c r="Y4" s="53"/>
      <c r="Z4" s="53"/>
      <c r="AA4" s="53"/>
      <c r="AB4" s="53"/>
      <c r="AC4" s="53"/>
      <c r="AD4" s="53"/>
      <c r="AE4" s="53"/>
      <c r="AF4" s="53"/>
      <c r="AG4" s="53"/>
      <c r="AJ4" t="str">
        <f t="shared" si="0"/>
        <v/>
      </c>
      <c r="AN4" s="2" t="s">
        <v>211</v>
      </c>
      <c r="AO4" s="9">
        <f t="shared" si="1"/>
        <v>0</v>
      </c>
      <c r="AP4" s="16" t="b">
        <f t="shared" si="2"/>
        <v>0</v>
      </c>
      <c r="AQ4" s="16">
        <f t="shared" si="3"/>
        <v>0</v>
      </c>
      <c r="AR4" s="4" t="s">
        <v>334</v>
      </c>
      <c r="AS4" s="24">
        <v>2265</v>
      </c>
      <c r="AT4" s="24">
        <f t="shared" si="4"/>
        <v>2465</v>
      </c>
      <c r="AU4" s="9">
        <f t="shared" ref="AU4:AU48" si="20">IF(F4="",0,1)</f>
        <v>0</v>
      </c>
      <c r="AV4" s="17"/>
      <c r="AW4" s="142" t="s">
        <v>131</v>
      </c>
      <c r="AX4" s="35">
        <v>0</v>
      </c>
      <c r="AY4" s="35">
        <v>0</v>
      </c>
      <c r="BA4" s="9">
        <f t="shared" ref="BA4:BA40" si="21">IF(H4="",0,1)</f>
        <v>0</v>
      </c>
      <c r="BB4" s="236" t="s">
        <v>131</v>
      </c>
      <c r="BD4" s="10" t="s">
        <v>42</v>
      </c>
      <c r="BE4" s="9">
        <f>IF(L4="",0,1)</f>
        <v>0</v>
      </c>
      <c r="BF4" s="85"/>
      <c r="BG4" s="85"/>
      <c r="BH4" s="9">
        <f>IF(O4="",0,1)</f>
        <v>0</v>
      </c>
      <c r="BI4" s="9">
        <f>IF(P4="",0,1)</f>
        <v>0</v>
      </c>
      <c r="BJ4" s="9">
        <f>IF(Q4="",0,1)</f>
        <v>0</v>
      </c>
      <c r="BK4" s="9">
        <f>SUM(BE4:BJ4)</f>
        <v>0</v>
      </c>
      <c r="BL4" s="39">
        <f>(BJ4*DU5)+(BE4*DU6)</f>
        <v>0</v>
      </c>
      <c r="BR4" s="33">
        <f t="shared" si="5"/>
        <v>0</v>
      </c>
      <c r="BS4" s="33">
        <f t="shared" ref="BS4:BS58" si="22">AU4*AY4</f>
        <v>0</v>
      </c>
      <c r="BT4" s="2">
        <f t="shared" si="6"/>
        <v>0</v>
      </c>
      <c r="BU4">
        <f t="shared" ref="BU4:BU22" si="23">+$BL$5</f>
        <v>0</v>
      </c>
      <c r="BV4">
        <f t="shared" si="7"/>
        <v>0</v>
      </c>
      <c r="BW4">
        <f t="shared" si="8"/>
        <v>0</v>
      </c>
      <c r="BX4">
        <f t="shared" si="9"/>
        <v>0</v>
      </c>
      <c r="BY4">
        <f>+$BE$12+$BI$13</f>
        <v>0</v>
      </c>
      <c r="BZ4">
        <f t="shared" si="10"/>
        <v>0</v>
      </c>
      <c r="CA4">
        <f t="shared" si="11"/>
        <v>0</v>
      </c>
      <c r="CB4">
        <f t="shared" si="12"/>
        <v>0</v>
      </c>
      <c r="CC4">
        <f t="shared" ref="CC4:CC65" si="24">SUM(BT4:CB4)</f>
        <v>0</v>
      </c>
      <c r="CE4" s="38"/>
      <c r="CF4" s="38"/>
      <c r="CH4" s="131" t="s">
        <v>424</v>
      </c>
      <c r="CI4" s="132"/>
      <c r="CK4" s="120">
        <f>+AU3+AU25</f>
        <v>0</v>
      </c>
      <c r="CL4" s="137" t="s">
        <v>634</v>
      </c>
      <c r="CN4" s="120"/>
      <c r="CO4" s="122"/>
      <c r="CQ4" s="120"/>
      <c r="CR4" s="122"/>
      <c r="CS4" s="121"/>
      <c r="CT4" s="120"/>
      <c r="CU4" s="122"/>
      <c r="CW4" s="120">
        <f t="shared" ref="CW4:CW6" si="25">+AO3</f>
        <v>0</v>
      </c>
      <c r="CX4" s="138" t="s">
        <v>1018</v>
      </c>
      <c r="DA4">
        <f t="shared" si="13"/>
        <v>0</v>
      </c>
      <c r="DB4" s="159" t="s">
        <v>334</v>
      </c>
      <c r="DC4" s="165">
        <v>48</v>
      </c>
      <c r="DD4" t="str">
        <f t="shared" si="14"/>
        <v>LLB348</v>
      </c>
      <c r="DE4" t="e">
        <f t="shared" si="15"/>
        <v>#N/A</v>
      </c>
      <c r="DF4" t="e">
        <f t="shared" si="16"/>
        <v>#N/A</v>
      </c>
      <c r="DG4" t="e">
        <f>LEFT(VLOOKUP(1,$AU$3:$AW$54,3,FALSE),2)</f>
        <v>#N/A</v>
      </c>
      <c r="DH4" t="e">
        <f t="shared" si="17"/>
        <v>#N/A</v>
      </c>
      <c r="DI4" t="str">
        <f t="shared" si="18"/>
        <v xml:space="preserve"> Cstm  </v>
      </c>
      <c r="DJ4" t="e">
        <f t="shared" si="19"/>
        <v>#N/A</v>
      </c>
      <c r="DK4" t="b">
        <f>ISERROR(DJ4)</f>
        <v>1</v>
      </c>
      <c r="DL4" t="str">
        <f>IF(DK4=FALSE,DJ4,"")</f>
        <v/>
      </c>
      <c r="DR4" s="212" t="s">
        <v>913</v>
      </c>
      <c r="DT4" t="s">
        <v>649</v>
      </c>
      <c r="DU4" s="39">
        <v>40</v>
      </c>
      <c r="DV4" s="181" t="s">
        <v>946</v>
      </c>
      <c r="EG4" s="89" t="s">
        <v>0</v>
      </c>
      <c r="EH4" s="5" t="str">
        <f>IF(AZ69=1,"Legacy Exotic, LXBDCUSTOM","Legacy Classic, LCBDCUSTOM")</f>
        <v>Legacy Classic, LCBDCUSTOM</v>
      </c>
      <c r="EI4" s="3"/>
      <c r="EJ4" s="10"/>
      <c r="EK4" s="186"/>
      <c r="EM4" t="s">
        <v>398</v>
      </c>
    </row>
    <row r="5" spans="1:143" ht="15" customHeight="1" thickBot="1" x14ac:dyDescent="0.35">
      <c r="A5" s="396"/>
      <c r="B5" s="232"/>
      <c r="C5" s="74" t="s">
        <v>44</v>
      </c>
      <c r="D5" s="75"/>
      <c r="E5" s="75"/>
      <c r="F5" s="95"/>
      <c r="G5" s="55" t="s">
        <v>124</v>
      </c>
      <c r="H5" s="339"/>
      <c r="I5" s="51"/>
      <c r="J5" s="117" t="s">
        <v>459</v>
      </c>
      <c r="K5" s="61" t="s">
        <v>140</v>
      </c>
      <c r="L5" s="99"/>
      <c r="M5" s="99"/>
      <c r="N5" s="99"/>
      <c r="O5" s="266"/>
      <c r="P5" s="266"/>
      <c r="R5" s="267"/>
      <c r="S5" s="267"/>
      <c r="T5" s="53"/>
      <c r="U5" s="53"/>
      <c r="V5" s="53"/>
      <c r="W5" s="53"/>
      <c r="X5" s="53"/>
      <c r="Y5" s="53"/>
      <c r="Z5" s="53"/>
      <c r="AA5" s="53"/>
      <c r="AB5" s="53"/>
      <c r="AC5" s="53"/>
      <c r="AD5" s="53"/>
      <c r="AE5" s="53"/>
      <c r="AF5" s="53"/>
      <c r="AG5" s="53"/>
      <c r="AJ5" t="str">
        <f t="shared" si="0"/>
        <v/>
      </c>
      <c r="AN5" s="2" t="s">
        <v>211</v>
      </c>
      <c r="AO5" s="9">
        <f t="shared" si="1"/>
        <v>0</v>
      </c>
      <c r="AP5" s="16" t="b">
        <f t="shared" si="2"/>
        <v>0</v>
      </c>
      <c r="AQ5" s="16">
        <f t="shared" si="3"/>
        <v>0</v>
      </c>
      <c r="AR5" s="4" t="s">
        <v>335</v>
      </c>
      <c r="AS5" s="24">
        <v>2265</v>
      </c>
      <c r="AT5" s="24">
        <f t="shared" si="4"/>
        <v>2465</v>
      </c>
      <c r="AU5" s="9">
        <f t="shared" si="20"/>
        <v>0</v>
      </c>
      <c r="AV5" s="17"/>
      <c r="AW5" s="142" t="s">
        <v>124</v>
      </c>
      <c r="AX5" s="35">
        <v>0</v>
      </c>
      <c r="AY5" s="35">
        <v>0</v>
      </c>
      <c r="BA5" s="9">
        <f t="shared" si="21"/>
        <v>0</v>
      </c>
      <c r="BB5" s="236" t="s">
        <v>124</v>
      </c>
      <c r="BD5" s="10" t="s">
        <v>140</v>
      </c>
      <c r="BE5" s="9">
        <f>IF(L5="",0,1)</f>
        <v>0</v>
      </c>
      <c r="BF5" s="9">
        <f t="shared" ref="BF5:BG7" si="26">IF(M5="",0,1)</f>
        <v>0</v>
      </c>
      <c r="BG5" s="9">
        <f t="shared" si="26"/>
        <v>0</v>
      </c>
      <c r="BH5" s="85"/>
      <c r="BI5" s="85"/>
      <c r="BJ5" s="85"/>
      <c r="BK5" s="9">
        <f>SUM(BE5:BJ5)</f>
        <v>0</v>
      </c>
      <c r="BL5" s="39">
        <f>(BF5*DU3)+(BG5*DU4)</f>
        <v>0</v>
      </c>
      <c r="BR5" s="33">
        <f t="shared" si="5"/>
        <v>0</v>
      </c>
      <c r="BS5" s="33">
        <f t="shared" si="22"/>
        <v>0</v>
      </c>
      <c r="BT5" s="2">
        <f t="shared" si="6"/>
        <v>0</v>
      </c>
      <c r="BU5">
        <f t="shared" si="23"/>
        <v>0</v>
      </c>
      <c r="BV5">
        <f t="shared" si="7"/>
        <v>0</v>
      </c>
      <c r="BW5">
        <f t="shared" si="8"/>
        <v>0</v>
      </c>
      <c r="BX5">
        <f t="shared" si="9"/>
        <v>0</v>
      </c>
      <c r="BY5">
        <f t="shared" ref="BY5:BY22" si="27">+$BE$12+$BI$13</f>
        <v>0</v>
      </c>
      <c r="BZ5">
        <f t="shared" si="10"/>
        <v>0</v>
      </c>
      <c r="CA5">
        <f t="shared" si="11"/>
        <v>0</v>
      </c>
      <c r="CB5">
        <f t="shared" si="12"/>
        <v>0</v>
      </c>
      <c r="CC5">
        <f t="shared" si="24"/>
        <v>0</v>
      </c>
      <c r="CE5" s="108" t="s">
        <v>408</v>
      </c>
      <c r="CF5" s="108"/>
      <c r="CH5" s="133">
        <f t="shared" ref="CH5:CH7" si="28">+AO3</f>
        <v>0</v>
      </c>
      <c r="CI5" s="134" t="s">
        <v>1018</v>
      </c>
      <c r="CK5" s="120">
        <f>SUM(AU38:AU39)</f>
        <v>0</v>
      </c>
      <c r="CL5" s="137" t="s">
        <v>1251</v>
      </c>
      <c r="CN5" s="120" t="s">
        <v>445</v>
      </c>
      <c r="CO5" s="122"/>
      <c r="CQ5" s="120"/>
      <c r="CR5" s="122" t="s">
        <v>463</v>
      </c>
      <c r="CS5" s="121"/>
      <c r="CT5" s="120">
        <f>+BI42</f>
        <v>0</v>
      </c>
      <c r="CU5" s="122" t="s">
        <v>475</v>
      </c>
      <c r="CW5" s="120">
        <f t="shared" si="25"/>
        <v>0</v>
      </c>
      <c r="CX5" s="138" t="s">
        <v>334</v>
      </c>
      <c r="DA5">
        <f t="shared" si="13"/>
        <v>0</v>
      </c>
      <c r="DB5" s="221" t="s">
        <v>335</v>
      </c>
      <c r="DC5" s="165">
        <v>68</v>
      </c>
      <c r="DD5" t="str">
        <f t="shared" si="14"/>
        <v>LLB368</v>
      </c>
      <c r="DE5" t="e">
        <f t="shared" si="15"/>
        <v>#N/A</v>
      </c>
      <c r="DF5" t="e">
        <f t="shared" si="16"/>
        <v>#N/A</v>
      </c>
      <c r="DG5" t="e">
        <f>LEFT(VLOOKUP(1,$AU$3:$AW$54,3,FALSE),2)</f>
        <v>#N/A</v>
      </c>
      <c r="DH5" t="e">
        <f t="shared" si="17"/>
        <v>#N/A</v>
      </c>
      <c r="DI5" t="str">
        <f t="shared" si="18"/>
        <v xml:space="preserve"> Cstm  </v>
      </c>
      <c r="DJ5" t="e">
        <f t="shared" si="19"/>
        <v>#N/A</v>
      </c>
      <c r="DK5" t="b">
        <f t="shared" ref="DK5:DK32" si="29">ISERROR(DJ5)</f>
        <v>1</v>
      </c>
      <c r="DL5" t="str">
        <f t="shared" ref="DL5:DL22" si="30">IF(DK5=FALSE,DJ5,"")</f>
        <v/>
      </c>
      <c r="DR5" s="212" t="s">
        <v>914</v>
      </c>
      <c r="DT5" t="s">
        <v>647</v>
      </c>
      <c r="DU5" s="39">
        <v>45</v>
      </c>
      <c r="DV5" s="181" t="s">
        <v>947</v>
      </c>
      <c r="EG5" s="89" t="s">
        <v>1</v>
      </c>
      <c r="EH5" s="3" t="s">
        <v>385</v>
      </c>
      <c r="EI5" s="3"/>
      <c r="EJ5" s="3"/>
      <c r="EK5" s="3"/>
      <c r="EM5" t="s">
        <v>398</v>
      </c>
    </row>
    <row r="6" spans="1:143" ht="15" customHeight="1" x14ac:dyDescent="0.3">
      <c r="A6" s="396"/>
      <c r="B6" s="232"/>
      <c r="C6" s="153" t="s">
        <v>1107</v>
      </c>
      <c r="D6" s="75"/>
      <c r="E6" s="75"/>
      <c r="F6" s="95"/>
      <c r="G6" s="55" t="s">
        <v>125</v>
      </c>
      <c r="H6" s="339"/>
      <c r="I6" s="51"/>
      <c r="J6" s="117"/>
      <c r="K6" s="61" t="s">
        <v>41</v>
      </c>
      <c r="L6" s="99"/>
      <c r="M6" s="99"/>
      <c r="N6" s="99"/>
      <c r="O6" s="269"/>
      <c r="P6" s="269"/>
      <c r="Q6" s="269"/>
      <c r="R6" s="267"/>
      <c r="S6" s="267"/>
      <c r="T6" s="53"/>
      <c r="U6" s="53"/>
      <c r="V6" s="53"/>
      <c r="W6" s="53"/>
      <c r="X6" s="53"/>
      <c r="Y6" s="53"/>
      <c r="Z6" s="53"/>
      <c r="AA6" s="53"/>
      <c r="AB6" s="53"/>
      <c r="AC6" s="53"/>
      <c r="AD6" s="53"/>
      <c r="AE6" s="53"/>
      <c r="AF6" s="53"/>
      <c r="AG6" s="53"/>
      <c r="AJ6" s="70" t="str">
        <f t="shared" si="0"/>
        <v/>
      </c>
      <c r="AK6" s="70"/>
      <c r="AL6" s="70"/>
      <c r="AM6" s="70"/>
      <c r="AN6" s="156" t="s">
        <v>211</v>
      </c>
      <c r="AO6" s="320">
        <f t="shared" si="1"/>
        <v>0</v>
      </c>
      <c r="AP6" s="321" t="b">
        <f t="shared" si="2"/>
        <v>0</v>
      </c>
      <c r="AQ6" s="321">
        <f t="shared" si="3"/>
        <v>0</v>
      </c>
      <c r="AR6" s="158" t="s">
        <v>1113</v>
      </c>
      <c r="AS6" s="24">
        <v>2285</v>
      </c>
      <c r="AT6" s="24">
        <f t="shared" si="4"/>
        <v>2485</v>
      </c>
      <c r="AU6" s="9">
        <f t="shared" si="20"/>
        <v>0</v>
      </c>
      <c r="AV6" s="17"/>
      <c r="AW6" s="142" t="s">
        <v>125</v>
      </c>
      <c r="AX6" s="35">
        <v>0</v>
      </c>
      <c r="AY6" s="35">
        <v>0</v>
      </c>
      <c r="BA6" s="9">
        <f t="shared" si="21"/>
        <v>0</v>
      </c>
      <c r="BB6" s="236" t="s">
        <v>125</v>
      </c>
      <c r="BD6" s="10" t="s">
        <v>41</v>
      </c>
      <c r="BE6" s="9">
        <f>IF(L6="",0,1)</f>
        <v>0</v>
      </c>
      <c r="BF6" s="9">
        <f t="shared" si="26"/>
        <v>0</v>
      </c>
      <c r="BG6" s="9">
        <f t="shared" si="26"/>
        <v>0</v>
      </c>
      <c r="BH6" s="86"/>
      <c r="BI6" s="86"/>
      <c r="BJ6" s="86"/>
      <c r="BK6" s="9">
        <f>SUM(BE6:BJ6)</f>
        <v>0</v>
      </c>
      <c r="BL6" s="39">
        <f>(BF6*DU3)+(BG6*DU4)</f>
        <v>0</v>
      </c>
      <c r="BR6" s="33">
        <f t="shared" si="5"/>
        <v>0</v>
      </c>
      <c r="BS6" s="33">
        <f t="shared" si="22"/>
        <v>0</v>
      </c>
      <c r="BT6" s="156">
        <f t="shared" si="6"/>
        <v>0</v>
      </c>
      <c r="BU6" s="70">
        <f t="shared" si="23"/>
        <v>0</v>
      </c>
      <c r="BV6" s="70">
        <f t="shared" si="7"/>
        <v>0</v>
      </c>
      <c r="BW6" s="70">
        <f t="shared" si="8"/>
        <v>0</v>
      </c>
      <c r="BX6" s="70">
        <f t="shared" si="9"/>
        <v>0</v>
      </c>
      <c r="BY6">
        <f t="shared" si="27"/>
        <v>0</v>
      </c>
      <c r="BZ6" s="70">
        <f t="shared" si="10"/>
        <v>0</v>
      </c>
      <c r="CA6">
        <f t="shared" si="11"/>
        <v>0</v>
      </c>
      <c r="CB6">
        <f t="shared" si="12"/>
        <v>0</v>
      </c>
      <c r="CC6">
        <f t="shared" si="24"/>
        <v>0</v>
      </c>
      <c r="CE6" s="107">
        <f>+BD22</f>
        <v>0</v>
      </c>
      <c r="CF6" s="109" t="s">
        <v>154</v>
      </c>
      <c r="CH6" s="133">
        <f t="shared" si="28"/>
        <v>0</v>
      </c>
      <c r="CI6" s="134" t="s">
        <v>334</v>
      </c>
      <c r="CK6" s="120">
        <f>SUM(AU31:AU37)</f>
        <v>0</v>
      </c>
      <c r="CL6" s="137" t="s">
        <v>1252</v>
      </c>
      <c r="CN6" s="120">
        <f>+BE4</f>
        <v>0</v>
      </c>
      <c r="CO6" s="122" t="s">
        <v>448</v>
      </c>
      <c r="CQ6" s="120">
        <f>+BL25</f>
        <v>0</v>
      </c>
      <c r="CR6" s="138" t="s">
        <v>175</v>
      </c>
      <c r="CS6" s="121"/>
      <c r="CT6" s="120"/>
      <c r="CU6" s="122"/>
      <c r="CW6" s="120">
        <f t="shared" si="25"/>
        <v>0</v>
      </c>
      <c r="CX6" s="138" t="s">
        <v>335</v>
      </c>
      <c r="DA6" s="70">
        <f t="shared" si="13"/>
        <v>0</v>
      </c>
      <c r="DB6" s="158" t="s">
        <v>1113</v>
      </c>
      <c r="DC6" s="322" t="s">
        <v>1152</v>
      </c>
      <c r="DD6" s="70" t="str">
        <f t="shared" si="14"/>
        <v>LLB320</v>
      </c>
      <c r="DE6" s="70" t="e">
        <f t="shared" si="15"/>
        <v>#N/A</v>
      </c>
      <c r="DF6" s="70" t="e">
        <f t="shared" si="16"/>
        <v>#N/A</v>
      </c>
      <c r="DG6" s="70" t="e">
        <f>LEFT(VLOOKUP(1,$AU$3:$AW$54,3,FALSE),2)</f>
        <v>#N/A</v>
      </c>
      <c r="DH6" s="70" t="e">
        <f t="shared" si="17"/>
        <v>#N/A</v>
      </c>
      <c r="DI6" t="str">
        <f t="shared" si="18"/>
        <v xml:space="preserve"> Cstm  </v>
      </c>
      <c r="DJ6" s="70" t="e">
        <f t="shared" si="19"/>
        <v>#N/A</v>
      </c>
      <c r="DK6" s="70" t="b">
        <f t="shared" si="29"/>
        <v>1</v>
      </c>
      <c r="DL6" t="str">
        <f t="shared" si="30"/>
        <v/>
      </c>
      <c r="DR6" s="212" t="s">
        <v>915</v>
      </c>
      <c r="DT6" t="s">
        <v>650</v>
      </c>
      <c r="DU6" s="39">
        <v>0</v>
      </c>
      <c r="DV6" s="181" t="s">
        <v>947</v>
      </c>
      <c r="EG6" s="88" t="s">
        <v>2</v>
      </c>
      <c r="EH6" s="387" t="str">
        <f>AJ72</f>
        <v/>
      </c>
      <c r="EI6" s="388"/>
      <c r="EJ6" s="388"/>
      <c r="EK6" s="388"/>
      <c r="EM6" t="s">
        <v>398</v>
      </c>
    </row>
    <row r="7" spans="1:143" x14ac:dyDescent="0.3">
      <c r="A7" s="396"/>
      <c r="B7" s="232"/>
      <c r="C7" s="74" t="s">
        <v>45</v>
      </c>
      <c r="D7" s="75"/>
      <c r="E7" s="75"/>
      <c r="F7" s="95"/>
      <c r="G7" s="55" t="s">
        <v>102</v>
      </c>
      <c r="H7" s="339"/>
      <c r="I7" s="51"/>
      <c r="J7" s="117" t="s">
        <v>459</v>
      </c>
      <c r="K7" s="61" t="s">
        <v>40</v>
      </c>
      <c r="L7" s="99"/>
      <c r="M7" s="99"/>
      <c r="N7" s="99"/>
      <c r="O7" s="266"/>
      <c r="P7" s="266"/>
      <c r="Q7" s="266"/>
      <c r="R7" s="267"/>
      <c r="S7" s="267"/>
      <c r="T7" s="53"/>
      <c r="U7" s="53"/>
      <c r="V7" s="53"/>
      <c r="W7" s="53"/>
      <c r="X7" s="53"/>
      <c r="Y7" s="53"/>
      <c r="Z7" s="53"/>
      <c r="AA7" s="53"/>
      <c r="AB7" s="53"/>
      <c r="AC7" s="53"/>
      <c r="AD7" s="53"/>
      <c r="AE7" s="53"/>
      <c r="AF7" s="53"/>
      <c r="AG7" s="53"/>
      <c r="AJ7" t="str">
        <f t="shared" si="0"/>
        <v/>
      </c>
      <c r="AN7" s="2" t="s">
        <v>211</v>
      </c>
      <c r="AO7" s="9">
        <f t="shared" ref="AO7:AO38" si="31">IF(B7="",0,1)</f>
        <v>0</v>
      </c>
      <c r="AP7" s="16" t="b">
        <f t="shared" ref="AP7:AP38" si="32">ISNUMBER(B7)</f>
        <v>0</v>
      </c>
      <c r="AQ7" s="16">
        <f t="shared" ref="AQ7:AQ38" si="33">IF(AP7=TRUE,B7,AO7)</f>
        <v>0</v>
      </c>
      <c r="AR7" s="4" t="s">
        <v>336</v>
      </c>
      <c r="AS7" s="24">
        <v>2285</v>
      </c>
      <c r="AT7" s="24">
        <f t="shared" si="4"/>
        <v>2485</v>
      </c>
      <c r="AU7" s="9">
        <f t="shared" si="20"/>
        <v>0</v>
      </c>
      <c r="AV7" s="17"/>
      <c r="AW7" s="142" t="s">
        <v>102</v>
      </c>
      <c r="AX7" s="35">
        <v>0</v>
      </c>
      <c r="AY7" s="35">
        <v>0</v>
      </c>
      <c r="BA7" s="9">
        <f t="shared" si="21"/>
        <v>0</v>
      </c>
      <c r="BB7" s="236" t="s">
        <v>102</v>
      </c>
      <c r="BD7" s="10" t="s">
        <v>40</v>
      </c>
      <c r="BE7" s="9">
        <f>IF(L7="",0,1)</f>
        <v>0</v>
      </c>
      <c r="BF7" s="9">
        <f t="shared" si="26"/>
        <v>0</v>
      </c>
      <c r="BG7" s="9">
        <f t="shared" si="26"/>
        <v>0</v>
      </c>
      <c r="BK7" s="9">
        <f>SUM(BE7:BJ7)</f>
        <v>0</v>
      </c>
      <c r="BL7" s="39">
        <f>(BF7*DU3)+(BG7*DU4)</f>
        <v>0</v>
      </c>
      <c r="BR7" s="33">
        <f t="shared" si="5"/>
        <v>0</v>
      </c>
      <c r="BS7" s="33">
        <f t="shared" si="22"/>
        <v>0</v>
      </c>
      <c r="BT7" s="2">
        <f t="shared" si="6"/>
        <v>0</v>
      </c>
      <c r="BU7">
        <f t="shared" si="23"/>
        <v>0</v>
      </c>
      <c r="BV7">
        <f t="shared" si="7"/>
        <v>0</v>
      </c>
      <c r="BW7">
        <f t="shared" si="8"/>
        <v>0</v>
      </c>
      <c r="BX7">
        <f t="shared" si="9"/>
        <v>0</v>
      </c>
      <c r="BY7">
        <f t="shared" si="27"/>
        <v>0</v>
      </c>
      <c r="BZ7">
        <f t="shared" si="10"/>
        <v>0</v>
      </c>
      <c r="CA7">
        <f t="shared" si="11"/>
        <v>0</v>
      </c>
      <c r="CB7">
        <f t="shared" si="12"/>
        <v>0</v>
      </c>
      <c r="CC7">
        <f t="shared" si="24"/>
        <v>0</v>
      </c>
      <c r="CE7" s="107">
        <f>+BD23</f>
        <v>0</v>
      </c>
      <c r="CF7" s="109" t="s">
        <v>413</v>
      </c>
      <c r="CH7" s="133">
        <f t="shared" si="28"/>
        <v>0</v>
      </c>
      <c r="CI7" s="134" t="s">
        <v>335</v>
      </c>
      <c r="CK7" s="120"/>
      <c r="CL7" s="137"/>
      <c r="CN7" s="120"/>
      <c r="CO7" s="138"/>
      <c r="CQ7" s="120">
        <f>+BL27</f>
        <v>0</v>
      </c>
      <c r="CR7" s="138" t="s">
        <v>177</v>
      </c>
      <c r="CS7" s="121"/>
      <c r="CT7" s="120">
        <f>+AO57</f>
        <v>0</v>
      </c>
      <c r="CU7" s="138" t="s">
        <v>375</v>
      </c>
      <c r="CW7" s="120">
        <f>+AO6+AO7</f>
        <v>0</v>
      </c>
      <c r="CX7" s="138" t="s">
        <v>1168</v>
      </c>
      <c r="DA7">
        <f t="shared" ref="DA7:DA32" si="34">+AO7</f>
        <v>0</v>
      </c>
      <c r="DB7" s="221" t="s">
        <v>336</v>
      </c>
      <c r="DC7" s="165">
        <v>40</v>
      </c>
      <c r="DD7" t="str">
        <f t="shared" si="14"/>
        <v>LLB340</v>
      </c>
      <c r="DE7" t="e">
        <f t="shared" si="15"/>
        <v>#N/A</v>
      </c>
      <c r="DF7" t="e">
        <f t="shared" si="16"/>
        <v>#N/A</v>
      </c>
      <c r="DG7" t="e">
        <f>LEFT(VLOOKUP(1,$AU$3:$AW$54,3,FALSE),2)</f>
        <v>#N/A</v>
      </c>
      <c r="DH7" t="e">
        <f t="shared" si="17"/>
        <v>#N/A</v>
      </c>
      <c r="DI7" t="str">
        <f t="shared" si="18"/>
        <v xml:space="preserve"> Cstm  </v>
      </c>
      <c r="DJ7" t="e">
        <f t="shared" si="19"/>
        <v>#N/A</v>
      </c>
      <c r="DK7" t="b">
        <f t="shared" si="29"/>
        <v>1</v>
      </c>
      <c r="DL7" t="str">
        <f t="shared" si="30"/>
        <v/>
      </c>
      <c r="DR7" s="212"/>
      <c r="DU7" s="39"/>
      <c r="DV7" s="181"/>
      <c r="EG7" s="89" t="s">
        <v>3</v>
      </c>
      <c r="EH7" s="3" t="e">
        <f>VLOOKUP(1,AU3:AW54,3,FALSE)</f>
        <v>#N/A</v>
      </c>
      <c r="EI7" s="3"/>
      <c r="EJ7" s="89" t="s">
        <v>11</v>
      </c>
      <c r="EK7" s="3" t="str">
        <f>IF(AZ62=1,"There","Not There")</f>
        <v>Not There</v>
      </c>
      <c r="EM7" t="s">
        <v>398</v>
      </c>
    </row>
    <row r="8" spans="1:143" x14ac:dyDescent="0.3">
      <c r="A8" s="396"/>
      <c r="B8" s="232"/>
      <c r="C8" s="74" t="s">
        <v>46</v>
      </c>
      <c r="D8" s="75"/>
      <c r="E8" s="75"/>
      <c r="F8" s="95"/>
      <c r="G8" s="55" t="s">
        <v>117</v>
      </c>
      <c r="H8" s="339"/>
      <c r="I8" s="51"/>
      <c r="J8" s="51"/>
      <c r="K8" s="3"/>
      <c r="L8" s="51"/>
      <c r="M8" s="51"/>
      <c r="N8" s="51"/>
      <c r="O8" s="267"/>
      <c r="P8" s="267"/>
      <c r="Q8" s="267"/>
      <c r="R8" s="267"/>
      <c r="S8" s="267"/>
      <c r="T8" s="53"/>
      <c r="U8" s="53"/>
      <c r="V8" s="53"/>
      <c r="W8" s="53"/>
      <c r="X8" s="53"/>
      <c r="Y8" s="53"/>
      <c r="Z8" s="53"/>
      <c r="AA8" s="53"/>
      <c r="AB8" s="53"/>
      <c r="AC8" s="53"/>
      <c r="AD8" s="53"/>
      <c r="AE8" s="53"/>
      <c r="AF8" s="53"/>
      <c r="AG8" s="53"/>
      <c r="AJ8" t="str">
        <f t="shared" si="0"/>
        <v/>
      </c>
      <c r="AN8" s="2" t="s">
        <v>211</v>
      </c>
      <c r="AO8" s="9">
        <f t="shared" si="31"/>
        <v>0</v>
      </c>
      <c r="AP8" s="16" t="b">
        <f t="shared" si="32"/>
        <v>0</v>
      </c>
      <c r="AQ8" s="16">
        <f t="shared" si="33"/>
        <v>0</v>
      </c>
      <c r="AR8" s="4" t="s">
        <v>337</v>
      </c>
      <c r="AS8" s="24">
        <v>2285</v>
      </c>
      <c r="AT8" s="24">
        <f t="shared" si="4"/>
        <v>2485</v>
      </c>
      <c r="AU8" s="9">
        <f t="shared" si="20"/>
        <v>0</v>
      </c>
      <c r="AV8" s="17"/>
      <c r="AW8" s="142" t="s">
        <v>117</v>
      </c>
      <c r="AX8" s="35">
        <v>200</v>
      </c>
      <c r="AY8" s="35">
        <v>200</v>
      </c>
      <c r="BA8" s="9">
        <f t="shared" si="21"/>
        <v>0</v>
      </c>
      <c r="BB8" s="236" t="s">
        <v>117</v>
      </c>
      <c r="BE8" t="s">
        <v>388</v>
      </c>
      <c r="BF8" t="s">
        <v>389</v>
      </c>
      <c r="BG8" t="s">
        <v>390</v>
      </c>
      <c r="BH8" t="s">
        <v>391</v>
      </c>
      <c r="BI8" t="s">
        <v>392</v>
      </c>
      <c r="BJ8" t="s">
        <v>393</v>
      </c>
      <c r="BR8" s="33">
        <f t="shared" si="5"/>
        <v>0</v>
      </c>
      <c r="BS8" s="33">
        <f t="shared" si="22"/>
        <v>0</v>
      </c>
      <c r="BT8" s="2">
        <f t="shared" si="6"/>
        <v>0</v>
      </c>
      <c r="BU8">
        <f t="shared" si="23"/>
        <v>0</v>
      </c>
      <c r="BV8">
        <f t="shared" si="7"/>
        <v>0</v>
      </c>
      <c r="BW8">
        <f t="shared" si="8"/>
        <v>0</v>
      </c>
      <c r="BX8">
        <f t="shared" si="9"/>
        <v>0</v>
      </c>
      <c r="BY8">
        <f t="shared" si="27"/>
        <v>0</v>
      </c>
      <c r="BZ8">
        <f t="shared" si="10"/>
        <v>0</v>
      </c>
      <c r="CA8">
        <f t="shared" si="11"/>
        <v>0</v>
      </c>
      <c r="CB8">
        <f t="shared" si="12"/>
        <v>0</v>
      </c>
      <c r="CC8">
        <f t="shared" si="24"/>
        <v>0</v>
      </c>
      <c r="CE8" s="107">
        <f>+BD32</f>
        <v>0</v>
      </c>
      <c r="CF8" s="109" t="s">
        <v>160</v>
      </c>
      <c r="CH8" s="133">
        <f>+AO6+AO7</f>
        <v>0</v>
      </c>
      <c r="CI8" s="134" t="s">
        <v>1168</v>
      </c>
      <c r="CK8" s="120"/>
      <c r="CL8" s="137"/>
      <c r="CN8" s="120">
        <f>+AO58</f>
        <v>0</v>
      </c>
      <c r="CO8" s="138" t="s">
        <v>376</v>
      </c>
      <c r="CQ8" s="120">
        <f>SUM(CQ6:CQ7)</f>
        <v>0</v>
      </c>
      <c r="CR8" s="122" t="s">
        <v>464</v>
      </c>
      <c r="CS8" s="121"/>
      <c r="CT8" s="120">
        <f>+AO58</f>
        <v>0</v>
      </c>
      <c r="CU8" s="138" t="s">
        <v>376</v>
      </c>
      <c r="CW8" s="120">
        <f>+AO8</f>
        <v>0</v>
      </c>
      <c r="CX8" s="138" t="s">
        <v>337</v>
      </c>
      <c r="DA8">
        <f t="shared" si="34"/>
        <v>0</v>
      </c>
      <c r="DB8" s="221" t="s">
        <v>337</v>
      </c>
      <c r="DC8" s="165">
        <v>60</v>
      </c>
      <c r="DD8" t="str">
        <f t="shared" si="14"/>
        <v>LLB360</v>
      </c>
      <c r="DE8" t="e">
        <f t="shared" si="15"/>
        <v>#N/A</v>
      </c>
      <c r="DF8" t="e">
        <f t="shared" si="16"/>
        <v>#N/A</v>
      </c>
      <c r="DG8" t="e">
        <f t="shared" ref="DG8:DG32" si="35">LEFT(VLOOKUP(1,$AU$3:$AW$54,3,FALSE),2)</f>
        <v>#N/A</v>
      </c>
      <c r="DH8" t="e">
        <f t="shared" si="17"/>
        <v>#N/A</v>
      </c>
      <c r="DI8" t="str">
        <f t="shared" si="18"/>
        <v xml:space="preserve"> Cstm  </v>
      </c>
      <c r="DJ8" t="e">
        <f t="shared" si="19"/>
        <v>#N/A</v>
      </c>
      <c r="DK8" t="b">
        <f t="shared" si="29"/>
        <v>1</v>
      </c>
      <c r="DL8" t="str">
        <f t="shared" si="30"/>
        <v/>
      </c>
      <c r="DR8" s="212" t="s">
        <v>916</v>
      </c>
      <c r="DT8" t="s">
        <v>651</v>
      </c>
      <c r="DU8" s="39">
        <v>40</v>
      </c>
      <c r="DV8" s="181" t="s">
        <v>948</v>
      </c>
      <c r="EG8" s="89" t="s">
        <v>4</v>
      </c>
      <c r="EH8" s="3" t="e">
        <f>VLOOKUP(1,AU62:AW76,3,FALSE)</f>
        <v>#N/A</v>
      </c>
      <c r="EI8" s="3"/>
      <c r="EJ8" s="89" t="s">
        <v>12</v>
      </c>
      <c r="EK8" s="3" t="str">
        <f>IF(AZ63=1,"There","Not There")</f>
        <v>Not There</v>
      </c>
      <c r="EM8" t="s">
        <v>398</v>
      </c>
    </row>
    <row r="9" spans="1:143" x14ac:dyDescent="0.3">
      <c r="A9" s="396"/>
      <c r="B9" s="232"/>
      <c r="C9" s="74" t="s">
        <v>47</v>
      </c>
      <c r="D9" s="75"/>
      <c r="E9" s="75"/>
      <c r="F9" s="95"/>
      <c r="G9" s="55" t="s">
        <v>104</v>
      </c>
      <c r="H9" s="339"/>
      <c r="I9" s="51"/>
      <c r="J9" s="51"/>
      <c r="K9" s="60" t="s">
        <v>179</v>
      </c>
      <c r="L9" s="53"/>
      <c r="M9" s="112" t="s">
        <v>1195</v>
      </c>
      <c r="N9" s="51"/>
      <c r="O9" s="268" t="s">
        <v>396</v>
      </c>
      <c r="P9" s="267"/>
      <c r="Q9" s="267"/>
      <c r="R9" s="267"/>
      <c r="S9" s="267"/>
      <c r="T9" s="53"/>
      <c r="U9" s="53"/>
      <c r="V9" s="53"/>
      <c r="W9" s="53"/>
      <c r="X9" s="53"/>
      <c r="Y9" s="53"/>
      <c r="Z9" s="53"/>
      <c r="AA9" s="53"/>
      <c r="AB9" s="53"/>
      <c r="AC9" s="53"/>
      <c r="AD9" s="53"/>
      <c r="AE9" s="53"/>
      <c r="AF9" s="53"/>
      <c r="AG9" s="53"/>
      <c r="AJ9" t="str">
        <f t="shared" si="0"/>
        <v/>
      </c>
      <c r="AN9" s="2" t="s">
        <v>211</v>
      </c>
      <c r="AO9" s="9">
        <f t="shared" si="31"/>
        <v>0</v>
      </c>
      <c r="AP9" s="16" t="b">
        <f t="shared" si="32"/>
        <v>0</v>
      </c>
      <c r="AQ9" s="16">
        <f t="shared" si="33"/>
        <v>0</v>
      </c>
      <c r="AR9" s="4" t="s">
        <v>338</v>
      </c>
      <c r="AS9" s="24">
        <v>2285</v>
      </c>
      <c r="AT9" s="24">
        <f t="shared" si="4"/>
        <v>2485</v>
      </c>
      <c r="AU9" s="9">
        <f t="shared" si="20"/>
        <v>0</v>
      </c>
      <c r="AV9" s="17"/>
      <c r="AW9" s="142" t="s">
        <v>104</v>
      </c>
      <c r="AX9" s="35">
        <v>0</v>
      </c>
      <c r="AY9" s="35">
        <v>0</v>
      </c>
      <c r="BA9" s="9">
        <f t="shared" si="21"/>
        <v>0</v>
      </c>
      <c r="BB9" s="236" t="s">
        <v>104</v>
      </c>
      <c r="BD9" s="14" t="s">
        <v>179</v>
      </c>
      <c r="BH9" s="69" t="s">
        <v>396</v>
      </c>
      <c r="BR9" s="33">
        <f t="shared" si="5"/>
        <v>0</v>
      </c>
      <c r="BS9" s="33">
        <f t="shared" si="22"/>
        <v>0</v>
      </c>
      <c r="BT9" s="2">
        <f t="shared" si="6"/>
        <v>0</v>
      </c>
      <c r="BU9">
        <f t="shared" si="23"/>
        <v>0</v>
      </c>
      <c r="BV9">
        <f t="shared" si="7"/>
        <v>0</v>
      </c>
      <c r="BW9">
        <f t="shared" si="8"/>
        <v>0</v>
      </c>
      <c r="BX9">
        <f t="shared" si="9"/>
        <v>0</v>
      </c>
      <c r="BY9">
        <f t="shared" si="27"/>
        <v>0</v>
      </c>
      <c r="BZ9">
        <f t="shared" ref="BZ9:BZ32" si="36">IF($BD$16=1,$DU$10,0)</f>
        <v>0</v>
      </c>
      <c r="CA9">
        <f t="shared" si="11"/>
        <v>0</v>
      </c>
      <c r="CB9">
        <f t="shared" si="12"/>
        <v>0</v>
      </c>
      <c r="CC9">
        <f t="shared" si="24"/>
        <v>0</v>
      </c>
      <c r="CE9" s="107">
        <f>SUM(CE6:CE8)</f>
        <v>0</v>
      </c>
      <c r="CF9" s="109" t="s">
        <v>409</v>
      </c>
      <c r="CH9" s="133">
        <f>+AO8</f>
        <v>0</v>
      </c>
      <c r="CI9" s="134" t="s">
        <v>337</v>
      </c>
      <c r="CK9" s="120"/>
      <c r="CL9" s="137"/>
      <c r="CN9" s="120">
        <f>+AO60</f>
        <v>0</v>
      </c>
      <c r="CO9" s="138" t="s">
        <v>378</v>
      </c>
      <c r="CQ9" s="120"/>
      <c r="CR9" s="122"/>
      <c r="CS9" s="121"/>
      <c r="CT9" s="120">
        <f>+AO59</f>
        <v>0</v>
      </c>
      <c r="CU9" s="138" t="s">
        <v>377</v>
      </c>
      <c r="CW9" s="120">
        <f>+AO9</f>
        <v>0</v>
      </c>
      <c r="CX9" s="138" t="s">
        <v>338</v>
      </c>
      <c r="DA9">
        <f t="shared" si="34"/>
        <v>0</v>
      </c>
      <c r="DB9" s="221" t="s">
        <v>338</v>
      </c>
      <c r="DC9" s="165">
        <v>80</v>
      </c>
      <c r="DD9" t="str">
        <f t="shared" si="14"/>
        <v>LLB380</v>
      </c>
      <c r="DE9" t="e">
        <f t="shared" ref="DE9:DE65" si="37">VLOOKUP(1,DA9:DD9,4,FALSE)</f>
        <v>#N/A</v>
      </c>
      <c r="DF9" t="e">
        <f t="shared" si="16"/>
        <v>#N/A</v>
      </c>
      <c r="DG9" t="e">
        <f t="shared" si="35"/>
        <v>#N/A</v>
      </c>
      <c r="DH9" t="e">
        <f t="shared" si="17"/>
        <v>#N/A</v>
      </c>
      <c r="DI9" t="str">
        <f t="shared" si="18"/>
        <v xml:space="preserve"> Cstm  </v>
      </c>
      <c r="DJ9" t="e">
        <f t="shared" si="19"/>
        <v>#N/A</v>
      </c>
      <c r="DK9" t="b">
        <f t="shared" si="29"/>
        <v>1</v>
      </c>
      <c r="DL9" t="str">
        <f t="shared" si="30"/>
        <v/>
      </c>
      <c r="DR9" s="212"/>
      <c r="DT9" s="53" t="s">
        <v>395</v>
      </c>
      <c r="DU9" s="39">
        <v>20</v>
      </c>
      <c r="DV9" s="181"/>
      <c r="EG9" s="89" t="s">
        <v>394</v>
      </c>
      <c r="EH9" s="3" t="str">
        <f>IFERROR(VLOOKUP(1,BA3:BB40,2,FALSE),"")</f>
        <v/>
      </c>
      <c r="EI9" s="3"/>
      <c r="EJ9" s="89" t="s">
        <v>13</v>
      </c>
      <c r="EK9" s="3" t="str">
        <f>IF(AZ64=1,"There","Not There")</f>
        <v>Not There</v>
      </c>
      <c r="EM9" t="s">
        <v>398</v>
      </c>
    </row>
    <row r="10" spans="1:143" x14ac:dyDescent="0.3">
      <c r="A10" s="396"/>
      <c r="B10" s="232"/>
      <c r="C10" s="153" t="s">
        <v>1108</v>
      </c>
      <c r="D10" s="75"/>
      <c r="E10" s="75"/>
      <c r="F10" s="95"/>
      <c r="G10" s="55" t="s">
        <v>103</v>
      </c>
      <c r="H10" s="339"/>
      <c r="I10" s="51"/>
      <c r="J10" s="51"/>
      <c r="K10" s="101"/>
      <c r="L10" s="54" t="s">
        <v>180</v>
      </c>
      <c r="M10" s="51"/>
      <c r="N10" s="51"/>
      <c r="O10" s="99"/>
      <c r="P10" s="111" t="s">
        <v>395</v>
      </c>
      <c r="Q10" s="53"/>
      <c r="R10" s="53"/>
      <c r="S10" s="53"/>
      <c r="T10" s="53"/>
      <c r="U10" s="53"/>
      <c r="V10" s="53"/>
      <c r="W10" s="53"/>
      <c r="X10" s="53"/>
      <c r="Y10" s="53"/>
      <c r="Z10" s="53"/>
      <c r="AA10" s="53"/>
      <c r="AB10" s="53"/>
      <c r="AC10" s="53"/>
      <c r="AD10" s="53"/>
      <c r="AE10" s="53"/>
      <c r="AF10" s="53"/>
      <c r="AG10" s="53"/>
      <c r="AJ10" s="70" t="str">
        <f t="shared" ref="AJ10" si="38">IF(AQ10&gt;0,CONCATENATE("qty ",AQ10,") ",AR10,"   "),"")</f>
        <v/>
      </c>
      <c r="AK10" s="70"/>
      <c r="AL10" s="70"/>
      <c r="AM10" s="70"/>
      <c r="AN10" s="156" t="s">
        <v>211</v>
      </c>
      <c r="AO10" s="320">
        <f t="shared" si="31"/>
        <v>0</v>
      </c>
      <c r="AP10" s="321" t="b">
        <f t="shared" si="32"/>
        <v>0</v>
      </c>
      <c r="AQ10" s="321">
        <f t="shared" si="33"/>
        <v>0</v>
      </c>
      <c r="AR10" s="158" t="s">
        <v>1114</v>
      </c>
      <c r="AS10" s="24">
        <v>2295</v>
      </c>
      <c r="AT10" s="24">
        <f t="shared" si="4"/>
        <v>2495</v>
      </c>
      <c r="AU10" s="9">
        <f t="shared" si="20"/>
        <v>0</v>
      </c>
      <c r="AV10" s="17"/>
      <c r="AW10" s="142" t="s">
        <v>103</v>
      </c>
      <c r="AX10" s="35">
        <v>0</v>
      </c>
      <c r="AY10" s="35">
        <v>0</v>
      </c>
      <c r="BA10" s="9">
        <f t="shared" si="21"/>
        <v>0</v>
      </c>
      <c r="BB10" s="236" t="s">
        <v>103</v>
      </c>
      <c r="BD10" s="15">
        <f>IF(K10="",0,1)</f>
        <v>0</v>
      </c>
      <c r="BE10" s="39">
        <f>+BD10*0</f>
        <v>0</v>
      </c>
      <c r="BF10" t="s">
        <v>180</v>
      </c>
      <c r="BH10" s="62">
        <f>IF(O10="",0,1)</f>
        <v>0</v>
      </c>
      <c r="BI10" s="39">
        <f>+BH10*DU9</f>
        <v>0</v>
      </c>
      <c r="BJ10" s="53" t="s">
        <v>395</v>
      </c>
      <c r="BL10" s="4" t="s">
        <v>204</v>
      </c>
      <c r="BM10" s="35" t="s">
        <v>227</v>
      </c>
      <c r="BN10" s="14" t="s">
        <v>169</v>
      </c>
      <c r="BR10" s="33">
        <f t="shared" si="5"/>
        <v>0</v>
      </c>
      <c r="BS10" s="33">
        <f t="shared" si="22"/>
        <v>0</v>
      </c>
      <c r="BT10" s="156">
        <f t="shared" si="6"/>
        <v>0</v>
      </c>
      <c r="BU10" s="70">
        <f t="shared" si="23"/>
        <v>0</v>
      </c>
      <c r="BV10" s="70">
        <f t="shared" si="7"/>
        <v>0</v>
      </c>
      <c r="BW10" s="70">
        <f t="shared" si="8"/>
        <v>0</v>
      </c>
      <c r="BX10" s="70">
        <f t="shared" si="9"/>
        <v>0</v>
      </c>
      <c r="BY10">
        <f t="shared" si="27"/>
        <v>0</v>
      </c>
      <c r="BZ10" s="70">
        <f t="shared" si="36"/>
        <v>0</v>
      </c>
      <c r="CA10">
        <f t="shared" si="11"/>
        <v>0</v>
      </c>
      <c r="CB10">
        <f t="shared" si="12"/>
        <v>0</v>
      </c>
      <c r="CC10">
        <f t="shared" si="24"/>
        <v>0</v>
      </c>
      <c r="CE10" s="107"/>
      <c r="CF10" s="109"/>
      <c r="CH10" s="133">
        <f>+AO9</f>
        <v>0</v>
      </c>
      <c r="CI10" s="134" t="s">
        <v>338</v>
      </c>
      <c r="CK10" s="120"/>
      <c r="CL10" s="137"/>
      <c r="CN10" s="120">
        <f>+AO61</f>
        <v>0</v>
      </c>
      <c r="CO10" s="138" t="s">
        <v>379</v>
      </c>
      <c r="CQ10" s="120">
        <f>+AO33</f>
        <v>0</v>
      </c>
      <c r="CR10" s="138" t="s">
        <v>358</v>
      </c>
      <c r="CS10" s="121"/>
      <c r="CT10" s="120">
        <f>SUM(CT7:CT9)</f>
        <v>0</v>
      </c>
      <c r="CU10" s="138" t="s">
        <v>469</v>
      </c>
      <c r="CW10" s="120">
        <f>SUM(CW4:CW9)</f>
        <v>0</v>
      </c>
      <c r="CX10" s="138" t="s">
        <v>449</v>
      </c>
      <c r="DA10" s="70">
        <f t="shared" si="34"/>
        <v>0</v>
      </c>
      <c r="DB10" s="158" t="s">
        <v>1114</v>
      </c>
      <c r="DC10" s="322" t="s">
        <v>1153</v>
      </c>
      <c r="DD10" s="70" t="str">
        <f t="shared" si="14"/>
        <v>LLB322</v>
      </c>
      <c r="DE10" s="70" t="e">
        <f t="shared" ref="DE10" si="39">VLOOKUP(1,DA10:DD10,4,FALSE)</f>
        <v>#N/A</v>
      </c>
      <c r="DF10" s="70" t="e">
        <f t="shared" si="16"/>
        <v>#N/A</v>
      </c>
      <c r="DG10" s="70" t="e">
        <f t="shared" si="35"/>
        <v>#N/A</v>
      </c>
      <c r="DH10" s="70" t="e">
        <f t="shared" si="17"/>
        <v>#N/A</v>
      </c>
      <c r="DI10" t="str">
        <f t="shared" si="18"/>
        <v xml:space="preserve"> Cstm  </v>
      </c>
      <c r="DJ10" s="70" t="e">
        <f t="shared" ref="DJ10" si="40">CONCATENATE(DE10,DF10,DG10,DH10,DI10)</f>
        <v>#N/A</v>
      </c>
      <c r="DK10" s="70" t="b">
        <f t="shared" ref="DK10" si="41">ISERROR(DJ10)</f>
        <v>1</v>
      </c>
      <c r="DL10" s="70" t="str">
        <f t="shared" si="30"/>
        <v/>
      </c>
      <c r="DR10" s="212" t="s">
        <v>917</v>
      </c>
      <c r="DT10" t="s">
        <v>654</v>
      </c>
      <c r="DU10" s="39">
        <v>60</v>
      </c>
      <c r="DV10" s="181" t="s">
        <v>949</v>
      </c>
      <c r="EG10" s="89" t="s">
        <v>6</v>
      </c>
      <c r="EH10" s="3" t="e">
        <f>HLOOKUP(1,BE5:BG8,4,FALSE)</f>
        <v>#N/A</v>
      </c>
      <c r="EI10" s="3"/>
      <c r="EJ10" s="89" t="s">
        <v>14</v>
      </c>
      <c r="EK10" s="3" t="str">
        <f>IF(AZ65=1,"There","Not There")</f>
        <v>Not There</v>
      </c>
      <c r="EM10" t="s">
        <v>398</v>
      </c>
    </row>
    <row r="11" spans="1:143" ht="15" thickBot="1" x14ac:dyDescent="0.35">
      <c r="A11" s="396"/>
      <c r="B11" s="232"/>
      <c r="C11" s="153" t="s">
        <v>48</v>
      </c>
      <c r="D11" s="75"/>
      <c r="E11" s="75"/>
      <c r="F11" s="95"/>
      <c r="G11" s="55" t="s">
        <v>108</v>
      </c>
      <c r="H11" s="339"/>
      <c r="I11" s="51"/>
      <c r="J11" s="51"/>
      <c r="K11" s="101"/>
      <c r="L11" s="51" t="s">
        <v>181</v>
      </c>
      <c r="M11" s="51"/>
      <c r="N11" s="51"/>
      <c r="O11" s="99"/>
      <c r="P11" s="54" t="s">
        <v>397</v>
      </c>
      <c r="Q11" s="53"/>
      <c r="R11" s="53"/>
      <c r="S11" s="53"/>
      <c r="T11" s="53"/>
      <c r="U11" s="53"/>
      <c r="V11" s="53"/>
      <c r="W11" s="53"/>
      <c r="X11" s="53"/>
      <c r="Y11" s="53"/>
      <c r="Z11" s="53"/>
      <c r="AA11" s="53"/>
      <c r="AB11" s="53"/>
      <c r="AC11" s="53"/>
      <c r="AD11" s="53"/>
      <c r="AE11" s="53"/>
      <c r="AF11" s="53"/>
      <c r="AG11" s="53"/>
      <c r="AJ11" t="str">
        <f t="shared" si="0"/>
        <v/>
      </c>
      <c r="AN11" s="2" t="s">
        <v>211</v>
      </c>
      <c r="AO11" s="9">
        <f t="shared" si="31"/>
        <v>0</v>
      </c>
      <c r="AP11" s="16" t="b">
        <f t="shared" si="32"/>
        <v>0</v>
      </c>
      <c r="AQ11" s="16">
        <f t="shared" si="33"/>
        <v>0</v>
      </c>
      <c r="AR11" s="4" t="s">
        <v>339</v>
      </c>
      <c r="AS11" s="24">
        <v>2295</v>
      </c>
      <c r="AT11" s="24">
        <f t="shared" si="4"/>
        <v>2495</v>
      </c>
      <c r="AU11" s="9">
        <f t="shared" si="20"/>
        <v>0</v>
      </c>
      <c r="AV11" s="17"/>
      <c r="AW11" s="142" t="s">
        <v>108</v>
      </c>
      <c r="AX11" s="35">
        <v>0</v>
      </c>
      <c r="AY11" s="35">
        <v>0</v>
      </c>
      <c r="BA11" s="9">
        <f t="shared" si="21"/>
        <v>0</v>
      </c>
      <c r="BB11" s="236" t="s">
        <v>108</v>
      </c>
      <c r="BD11" s="15">
        <f>IF(K11="",0,1)</f>
        <v>0</v>
      </c>
      <c r="BE11" s="39">
        <f>+BD11*DU8</f>
        <v>0</v>
      </c>
      <c r="BF11" t="s">
        <v>181</v>
      </c>
      <c r="BH11" s="62">
        <f>IF(O11="",0,1)</f>
        <v>0</v>
      </c>
      <c r="BJ11" s="53" t="s">
        <v>397</v>
      </c>
      <c r="BL11" s="9">
        <f t="shared" ref="BL11:BL16" si="42">IF(P15="",0,1)</f>
        <v>0</v>
      </c>
      <c r="BM11" s="43">
        <f>+BL11*0</f>
        <v>0</v>
      </c>
      <c r="BN11" s="3" t="s">
        <v>163</v>
      </c>
      <c r="BR11" s="33">
        <f t="shared" si="5"/>
        <v>0</v>
      </c>
      <c r="BS11" s="33">
        <f t="shared" si="22"/>
        <v>0</v>
      </c>
      <c r="BT11" s="2">
        <f t="shared" si="6"/>
        <v>0</v>
      </c>
      <c r="BU11">
        <f t="shared" si="23"/>
        <v>0</v>
      </c>
      <c r="BV11">
        <f t="shared" si="7"/>
        <v>0</v>
      </c>
      <c r="BW11">
        <f t="shared" si="8"/>
        <v>0</v>
      </c>
      <c r="BX11">
        <f t="shared" si="9"/>
        <v>0</v>
      </c>
      <c r="BY11">
        <f t="shared" si="27"/>
        <v>0</v>
      </c>
      <c r="BZ11">
        <f t="shared" si="36"/>
        <v>0</v>
      </c>
      <c r="CA11">
        <f t="shared" si="11"/>
        <v>0</v>
      </c>
      <c r="CB11">
        <f t="shared" si="12"/>
        <v>0</v>
      </c>
      <c r="CC11">
        <f t="shared" si="24"/>
        <v>0</v>
      </c>
      <c r="CE11" s="108" t="s">
        <v>410</v>
      </c>
      <c r="CF11" s="110"/>
      <c r="CH11" s="133">
        <f>+AO23</f>
        <v>0</v>
      </c>
      <c r="CI11" s="134" t="s">
        <v>349</v>
      </c>
      <c r="CK11" s="120"/>
      <c r="CL11" s="137"/>
      <c r="CN11" s="120">
        <f>+AO64</f>
        <v>0</v>
      </c>
      <c r="CO11" s="138" t="s">
        <v>382</v>
      </c>
      <c r="CQ11" s="120">
        <f>+AO50</f>
        <v>0</v>
      </c>
      <c r="CR11" s="138" t="s">
        <v>374</v>
      </c>
      <c r="CS11" s="121"/>
      <c r="CT11" s="120"/>
      <c r="CU11" s="138"/>
      <c r="CW11" s="120"/>
      <c r="CX11" s="122"/>
      <c r="DA11">
        <f t="shared" si="34"/>
        <v>0</v>
      </c>
      <c r="DB11" s="221" t="s">
        <v>339</v>
      </c>
      <c r="DC11" s="165">
        <v>42</v>
      </c>
      <c r="DD11" t="str">
        <f t="shared" si="14"/>
        <v>LLB342</v>
      </c>
      <c r="DE11" t="e">
        <f t="shared" si="37"/>
        <v>#N/A</v>
      </c>
      <c r="DF11" t="e">
        <f t="shared" si="16"/>
        <v>#N/A</v>
      </c>
      <c r="DG11" t="e">
        <f t="shared" si="35"/>
        <v>#N/A</v>
      </c>
      <c r="DH11" t="e">
        <f t="shared" si="17"/>
        <v>#N/A</v>
      </c>
      <c r="DI11" t="str">
        <f t="shared" si="18"/>
        <v xml:space="preserve"> Cstm  </v>
      </c>
      <c r="DJ11" t="e">
        <f t="shared" si="19"/>
        <v>#N/A</v>
      </c>
      <c r="DK11" t="b">
        <f t="shared" si="29"/>
        <v>1</v>
      </c>
      <c r="DL11" t="str">
        <f t="shared" si="30"/>
        <v/>
      </c>
      <c r="DR11" s="212" t="s">
        <v>918</v>
      </c>
      <c r="DT11" t="s">
        <v>655</v>
      </c>
      <c r="DU11" s="39">
        <v>60</v>
      </c>
      <c r="DV11" s="181" t="s">
        <v>950</v>
      </c>
      <c r="EG11" s="89" t="s">
        <v>149</v>
      </c>
      <c r="EH11" s="3" t="e">
        <f>VLOOKUP(1,BD15:BF16,3,FALSE)</f>
        <v>#N/A</v>
      </c>
      <c r="EI11" s="3"/>
      <c r="EJ11" s="89" t="s">
        <v>386</v>
      </c>
      <c r="EK11" s="3" t="e">
        <f>VLOOKUP(1,BH10:BJ12,3,FALSE)</f>
        <v>#N/A</v>
      </c>
      <c r="EM11" t="s">
        <v>398</v>
      </c>
    </row>
    <row r="12" spans="1:143" x14ac:dyDescent="0.3">
      <c r="A12" s="396"/>
      <c r="B12" s="232"/>
      <c r="C12" s="74" t="s">
        <v>49</v>
      </c>
      <c r="D12" s="75"/>
      <c r="E12" s="75"/>
      <c r="F12" s="97"/>
      <c r="G12" s="55" t="s">
        <v>1254</v>
      </c>
      <c r="H12" s="339"/>
      <c r="I12" s="51"/>
      <c r="J12" s="51"/>
      <c r="K12" s="112"/>
      <c r="L12" s="51"/>
      <c r="M12" s="51"/>
      <c r="N12" s="51"/>
      <c r="O12" s="101"/>
      <c r="P12" s="111" t="s">
        <v>1187</v>
      </c>
      <c r="Q12" s="53"/>
      <c r="R12" s="53"/>
      <c r="S12" s="53"/>
      <c r="T12" s="53"/>
      <c r="U12" s="53"/>
      <c r="V12" s="53"/>
      <c r="W12" s="53"/>
      <c r="X12" s="53"/>
      <c r="Y12" s="53"/>
      <c r="Z12" s="53"/>
      <c r="AA12" s="53"/>
      <c r="AB12" s="53"/>
      <c r="AC12" s="53"/>
      <c r="AD12" s="53"/>
      <c r="AE12" s="53"/>
      <c r="AF12" s="53"/>
      <c r="AG12" s="53"/>
      <c r="AJ12" t="str">
        <f t="shared" si="0"/>
        <v/>
      </c>
      <c r="AN12" s="2" t="s">
        <v>211</v>
      </c>
      <c r="AO12" s="9">
        <f t="shared" si="31"/>
        <v>0</v>
      </c>
      <c r="AP12" s="16" t="b">
        <f t="shared" si="32"/>
        <v>0</v>
      </c>
      <c r="AQ12" s="16">
        <f t="shared" si="33"/>
        <v>0</v>
      </c>
      <c r="AR12" s="4" t="s">
        <v>340</v>
      </c>
      <c r="AS12" s="24">
        <v>2295</v>
      </c>
      <c r="AT12" s="24">
        <f t="shared" si="4"/>
        <v>2495</v>
      </c>
      <c r="AU12" s="9">
        <f t="shared" si="20"/>
        <v>0</v>
      </c>
      <c r="AV12" s="17"/>
      <c r="AW12" s="142" t="s">
        <v>1254</v>
      </c>
      <c r="AX12" s="35">
        <v>0</v>
      </c>
      <c r="AY12" s="35">
        <v>0</v>
      </c>
      <c r="BA12" s="9">
        <f t="shared" si="21"/>
        <v>0</v>
      </c>
      <c r="BB12" s="236" t="s">
        <v>1254</v>
      </c>
      <c r="BC12" s="10" t="s">
        <v>204</v>
      </c>
      <c r="BD12">
        <f>SUM(BD10:BD11)</f>
        <v>0</v>
      </c>
      <c r="BE12" s="44">
        <f>SUM(BE10:BE11)</f>
        <v>0</v>
      </c>
      <c r="BF12" s="36" t="s">
        <v>227</v>
      </c>
      <c r="BH12" s="62">
        <f>IF(O12="",0,1)</f>
        <v>0</v>
      </c>
      <c r="BJ12" t="s">
        <v>1187</v>
      </c>
      <c r="BL12" s="9">
        <f t="shared" si="42"/>
        <v>0</v>
      </c>
      <c r="BM12" s="43">
        <f>+BL12*0</f>
        <v>0</v>
      </c>
      <c r="BN12" s="3" t="s">
        <v>164</v>
      </c>
      <c r="BR12" s="33">
        <f t="shared" si="5"/>
        <v>0</v>
      </c>
      <c r="BS12" s="33">
        <f t="shared" si="22"/>
        <v>0</v>
      </c>
      <c r="BT12" s="2">
        <f t="shared" si="6"/>
        <v>0</v>
      </c>
      <c r="BU12">
        <f t="shared" si="23"/>
        <v>0</v>
      </c>
      <c r="BV12">
        <f t="shared" si="7"/>
        <v>0</v>
      </c>
      <c r="BW12">
        <f t="shared" si="8"/>
        <v>0</v>
      </c>
      <c r="BX12">
        <f t="shared" si="9"/>
        <v>0</v>
      </c>
      <c r="BY12">
        <f t="shared" si="27"/>
        <v>0</v>
      </c>
      <c r="BZ12">
        <f t="shared" si="36"/>
        <v>0</v>
      </c>
      <c r="CA12">
        <f t="shared" si="11"/>
        <v>0</v>
      </c>
      <c r="CB12">
        <f t="shared" si="12"/>
        <v>0</v>
      </c>
      <c r="CC12">
        <f t="shared" si="24"/>
        <v>0</v>
      </c>
      <c r="CE12" s="107">
        <f>+BL24</f>
        <v>0</v>
      </c>
      <c r="CF12" s="109" t="s">
        <v>174</v>
      </c>
      <c r="CH12" s="133">
        <f>+AO24</f>
        <v>0</v>
      </c>
      <c r="CI12" s="134" t="s">
        <v>350</v>
      </c>
      <c r="CK12" s="120"/>
      <c r="CL12" s="137"/>
      <c r="CN12" s="128">
        <f>SUM(CN8:CN11)</f>
        <v>0</v>
      </c>
      <c r="CO12" s="138" t="s">
        <v>443</v>
      </c>
      <c r="CQ12" s="120">
        <f>+AO51</f>
        <v>0</v>
      </c>
      <c r="CR12" s="138" t="s">
        <v>352</v>
      </c>
      <c r="CS12" s="121"/>
      <c r="CT12" s="123">
        <f>+CT10*CT5</f>
        <v>0</v>
      </c>
      <c r="CU12" s="139" t="s">
        <v>444</v>
      </c>
      <c r="CW12" s="120">
        <f>+BL13</f>
        <v>0</v>
      </c>
      <c r="CX12" s="138" t="s">
        <v>165</v>
      </c>
      <c r="DA12">
        <f t="shared" si="34"/>
        <v>0</v>
      </c>
      <c r="DB12" s="221" t="s">
        <v>340</v>
      </c>
      <c r="DC12" s="165">
        <v>62</v>
      </c>
      <c r="DD12" t="str">
        <f t="shared" si="14"/>
        <v>LLB362</v>
      </c>
      <c r="DE12" t="e">
        <f t="shared" si="37"/>
        <v>#N/A</v>
      </c>
      <c r="DF12" t="e">
        <f t="shared" si="16"/>
        <v>#N/A</v>
      </c>
      <c r="DG12" t="e">
        <f t="shared" si="35"/>
        <v>#N/A</v>
      </c>
      <c r="DH12" t="e">
        <f t="shared" si="17"/>
        <v>#N/A</v>
      </c>
      <c r="DI12" t="str">
        <f t="shared" si="18"/>
        <v xml:space="preserve"> Cstm  </v>
      </c>
      <c r="DJ12" t="e">
        <f t="shared" si="19"/>
        <v>#N/A</v>
      </c>
      <c r="DK12" t="b">
        <f t="shared" si="29"/>
        <v>1</v>
      </c>
      <c r="DL12" t="str">
        <f t="shared" si="30"/>
        <v/>
      </c>
      <c r="DR12" s="212"/>
      <c r="DV12" s="181"/>
      <c r="EG12" s="89" t="s">
        <v>7</v>
      </c>
      <c r="EH12" s="3" t="e">
        <f>VLOOKUP(1,BD20:BG32,4,FALSE)</f>
        <v>#N/A</v>
      </c>
      <c r="EI12" s="3"/>
      <c r="EJ12" s="89" t="s">
        <v>39</v>
      </c>
      <c r="EK12" s="3" t="e">
        <f>VLOOKUP(1,BD10:BF11,3,FALSE)</f>
        <v>#N/A</v>
      </c>
      <c r="EM12" t="s">
        <v>398</v>
      </c>
    </row>
    <row r="13" spans="1:143" x14ac:dyDescent="0.3">
      <c r="A13" s="396"/>
      <c r="B13" s="232"/>
      <c r="C13" s="74" t="s">
        <v>50</v>
      </c>
      <c r="D13" s="75"/>
      <c r="E13" s="75"/>
      <c r="F13" s="95"/>
      <c r="G13" s="350" t="s">
        <v>1246</v>
      </c>
      <c r="H13" s="339"/>
      <c r="I13" s="51"/>
      <c r="J13" s="112" t="s">
        <v>460</v>
      </c>
      <c r="K13" s="51"/>
      <c r="L13" s="51"/>
      <c r="M13" s="51"/>
      <c r="N13" s="170"/>
      <c r="O13" s="267"/>
      <c r="P13" s="114" t="s">
        <v>487</v>
      </c>
      <c r="Q13" s="53"/>
      <c r="R13" s="53"/>
      <c r="S13" s="53"/>
      <c r="T13" s="53"/>
      <c r="U13" s="53"/>
      <c r="V13" s="53"/>
      <c r="W13" s="53"/>
      <c r="X13" s="53"/>
      <c r="Y13" s="53"/>
      <c r="Z13" s="53"/>
      <c r="AA13" s="53"/>
      <c r="AB13" s="53"/>
      <c r="AC13" s="53"/>
      <c r="AD13" s="53"/>
      <c r="AE13" s="53"/>
      <c r="AF13" s="53"/>
      <c r="AG13" s="53"/>
      <c r="AJ13" t="str">
        <f t="shared" si="0"/>
        <v/>
      </c>
      <c r="AN13" s="2" t="s">
        <v>211</v>
      </c>
      <c r="AO13" s="9">
        <f t="shared" si="31"/>
        <v>0</v>
      </c>
      <c r="AP13" s="16" t="b">
        <f t="shared" si="32"/>
        <v>0</v>
      </c>
      <c r="AQ13" s="16">
        <f t="shared" si="33"/>
        <v>0</v>
      </c>
      <c r="AR13" s="4" t="s">
        <v>341</v>
      </c>
      <c r="AS13" s="24">
        <v>2295</v>
      </c>
      <c r="AT13" s="24">
        <f t="shared" si="4"/>
        <v>2495</v>
      </c>
      <c r="AU13" s="9">
        <f t="shared" si="20"/>
        <v>0</v>
      </c>
      <c r="AV13" s="17"/>
      <c r="AW13" s="371" t="s">
        <v>1246</v>
      </c>
      <c r="AX13" s="35">
        <v>0</v>
      </c>
      <c r="AY13" s="35">
        <v>0</v>
      </c>
      <c r="BA13" s="9">
        <f t="shared" si="21"/>
        <v>0</v>
      </c>
      <c r="BB13" s="236" t="s">
        <v>1246</v>
      </c>
      <c r="BH13">
        <f>SUM(BH10:BH12)</f>
        <v>0</v>
      </c>
      <c r="BI13" s="44">
        <f>SUM(BI10:BI12)</f>
        <v>0</v>
      </c>
      <c r="BJ13" s="36" t="s">
        <v>227</v>
      </c>
      <c r="BL13" s="9">
        <f t="shared" si="42"/>
        <v>0</v>
      </c>
      <c r="BM13" s="43">
        <f>+BL13*DU13</f>
        <v>0</v>
      </c>
      <c r="BN13" s="3" t="s">
        <v>165</v>
      </c>
      <c r="BR13" s="33">
        <f t="shared" si="5"/>
        <v>0</v>
      </c>
      <c r="BS13" s="33">
        <f t="shared" si="22"/>
        <v>0</v>
      </c>
      <c r="BT13" s="2">
        <f t="shared" si="6"/>
        <v>0</v>
      </c>
      <c r="BU13">
        <f t="shared" si="23"/>
        <v>0</v>
      </c>
      <c r="BV13">
        <f t="shared" si="7"/>
        <v>0</v>
      </c>
      <c r="BW13">
        <f t="shared" si="8"/>
        <v>0</v>
      </c>
      <c r="BX13">
        <f t="shared" si="9"/>
        <v>0</v>
      </c>
      <c r="BY13">
        <f t="shared" si="27"/>
        <v>0</v>
      </c>
      <c r="BZ13">
        <f t="shared" si="36"/>
        <v>0</v>
      </c>
      <c r="CA13">
        <f t="shared" si="11"/>
        <v>0</v>
      </c>
      <c r="CB13">
        <f t="shared" si="12"/>
        <v>0</v>
      </c>
      <c r="CC13">
        <f t="shared" si="24"/>
        <v>0</v>
      </c>
      <c r="CE13" s="107">
        <f>+BL25</f>
        <v>0</v>
      </c>
      <c r="CF13" s="109" t="s">
        <v>175</v>
      </c>
      <c r="CH13" s="133">
        <f>+AO25</f>
        <v>0</v>
      </c>
      <c r="CI13" s="134" t="s">
        <v>351</v>
      </c>
      <c r="CK13" s="120"/>
      <c r="CL13" s="137"/>
      <c r="CN13" s="123">
        <f>+CN12*CN6</f>
        <v>0</v>
      </c>
      <c r="CO13" s="139" t="s">
        <v>444</v>
      </c>
      <c r="CQ13" s="120">
        <f>+AO52</f>
        <v>0</v>
      </c>
      <c r="CR13" s="138" t="s">
        <v>353</v>
      </c>
      <c r="CS13" s="121"/>
      <c r="CT13" s="125"/>
      <c r="CU13" s="143"/>
      <c r="CW13" s="120">
        <f>+BL14</f>
        <v>0</v>
      </c>
      <c r="CX13" s="138" t="s">
        <v>166</v>
      </c>
      <c r="DA13">
        <f t="shared" si="34"/>
        <v>0</v>
      </c>
      <c r="DB13" s="221" t="s">
        <v>341</v>
      </c>
      <c r="DC13" s="165">
        <v>82</v>
      </c>
      <c r="DD13" t="str">
        <f t="shared" si="14"/>
        <v>LLB382</v>
      </c>
      <c r="DE13" t="e">
        <f t="shared" si="37"/>
        <v>#N/A</v>
      </c>
      <c r="DF13" t="e">
        <f t="shared" si="16"/>
        <v>#N/A</v>
      </c>
      <c r="DG13" t="e">
        <f t="shared" si="35"/>
        <v>#N/A</v>
      </c>
      <c r="DH13" t="e">
        <f t="shared" si="17"/>
        <v>#N/A</v>
      </c>
      <c r="DI13" t="str">
        <f t="shared" si="18"/>
        <v xml:space="preserve"> Cstm  </v>
      </c>
      <c r="DJ13" t="e">
        <f t="shared" si="19"/>
        <v>#N/A</v>
      </c>
      <c r="DK13" t="b">
        <f t="shared" si="29"/>
        <v>1</v>
      </c>
      <c r="DL13" t="str">
        <f t="shared" si="30"/>
        <v/>
      </c>
      <c r="DR13" s="222"/>
      <c r="DT13" t="s">
        <v>1158</v>
      </c>
      <c r="DU13" s="39">
        <v>30</v>
      </c>
      <c r="DV13" s="181"/>
      <c r="EG13" s="89" t="s">
        <v>34</v>
      </c>
      <c r="EH13" s="3" t="str">
        <f>IFERROR(VLOOKUP(1,BD34:BG35,4,FALSE),"")</f>
        <v/>
      </c>
      <c r="EI13" s="3"/>
      <c r="EJ13" s="89" t="s">
        <v>23</v>
      </c>
      <c r="EK13" s="3" t="str">
        <f>VLOOKUP(1,BD56:BE56,2,FALSE)</f>
        <v>PS3 Clear</v>
      </c>
      <c r="EM13" t="s">
        <v>398</v>
      </c>
    </row>
    <row r="14" spans="1:143" x14ac:dyDescent="0.3">
      <c r="A14" s="396"/>
      <c r="B14" s="232"/>
      <c r="C14" s="74" t="s">
        <v>51</v>
      </c>
      <c r="D14" s="75"/>
      <c r="E14" s="75"/>
      <c r="F14" s="95"/>
      <c r="G14" s="55" t="s">
        <v>1015</v>
      </c>
      <c r="H14" s="339"/>
      <c r="I14" s="51"/>
      <c r="J14" s="60" t="s">
        <v>149</v>
      </c>
      <c r="K14" s="51"/>
      <c r="L14" s="170"/>
      <c r="M14" s="112"/>
      <c r="N14" s="51"/>
      <c r="O14" s="267"/>
      <c r="P14" s="60" t="s">
        <v>169</v>
      </c>
      <c r="Q14" s="269"/>
      <c r="R14" s="269"/>
      <c r="S14" s="53"/>
      <c r="T14" s="53"/>
      <c r="U14" s="53"/>
      <c r="V14" s="53"/>
      <c r="W14" s="53"/>
      <c r="X14" s="53"/>
      <c r="Y14" s="53"/>
      <c r="Z14" s="53"/>
      <c r="AA14" s="53"/>
      <c r="AB14" s="53"/>
      <c r="AC14" s="53"/>
      <c r="AD14" s="53"/>
      <c r="AE14" s="53"/>
      <c r="AF14" s="53"/>
      <c r="AG14" s="53"/>
      <c r="AJ14" t="str">
        <f t="shared" si="0"/>
        <v/>
      </c>
      <c r="AN14" s="2" t="s">
        <v>211</v>
      </c>
      <c r="AO14" s="9">
        <f t="shared" si="31"/>
        <v>0</v>
      </c>
      <c r="AP14" s="16" t="b">
        <f t="shared" si="32"/>
        <v>0</v>
      </c>
      <c r="AQ14" s="16">
        <f t="shared" si="33"/>
        <v>0</v>
      </c>
      <c r="AR14" s="4" t="s">
        <v>342</v>
      </c>
      <c r="AS14" s="24">
        <v>2295</v>
      </c>
      <c r="AT14" s="24">
        <f t="shared" si="4"/>
        <v>2495</v>
      </c>
      <c r="AU14" s="9">
        <f t="shared" si="20"/>
        <v>0</v>
      </c>
      <c r="AV14" s="17"/>
      <c r="AW14" s="142" t="s">
        <v>1015</v>
      </c>
      <c r="AX14" s="35">
        <v>0</v>
      </c>
      <c r="AY14" s="35">
        <v>0</v>
      </c>
      <c r="BA14" s="9">
        <f t="shared" si="21"/>
        <v>0</v>
      </c>
      <c r="BB14" s="236" t="s">
        <v>1015</v>
      </c>
      <c r="BD14" s="14" t="s">
        <v>149</v>
      </c>
      <c r="BE14" s="3"/>
      <c r="BL14" s="9">
        <f t="shared" si="42"/>
        <v>0</v>
      </c>
      <c r="BM14" s="43">
        <f>+BL14*DU14</f>
        <v>0</v>
      </c>
      <c r="BN14" s="3" t="s">
        <v>166</v>
      </c>
      <c r="BR14" s="33">
        <f t="shared" si="5"/>
        <v>0</v>
      </c>
      <c r="BS14" s="33">
        <f t="shared" si="22"/>
        <v>0</v>
      </c>
      <c r="BT14" s="2">
        <f t="shared" si="6"/>
        <v>0</v>
      </c>
      <c r="BU14">
        <f t="shared" si="23"/>
        <v>0</v>
      </c>
      <c r="BV14">
        <f t="shared" si="7"/>
        <v>0</v>
      </c>
      <c r="BW14">
        <f t="shared" si="8"/>
        <v>0</v>
      </c>
      <c r="BX14">
        <f t="shared" si="9"/>
        <v>0</v>
      </c>
      <c r="BY14">
        <f t="shared" si="27"/>
        <v>0</v>
      </c>
      <c r="BZ14">
        <f t="shared" si="36"/>
        <v>0</v>
      </c>
      <c r="CA14">
        <f t="shared" si="11"/>
        <v>0</v>
      </c>
      <c r="CB14">
        <f t="shared" si="12"/>
        <v>0</v>
      </c>
      <c r="CC14">
        <f t="shared" si="24"/>
        <v>0</v>
      </c>
      <c r="CE14" s="107">
        <f>+BL28</f>
        <v>0</v>
      </c>
      <c r="CF14" s="109" t="s">
        <v>178</v>
      </c>
      <c r="CH14" s="133">
        <f>+AO26</f>
        <v>0</v>
      </c>
      <c r="CI14" s="134" t="s">
        <v>352</v>
      </c>
      <c r="CK14" s="120"/>
      <c r="CL14" s="138"/>
      <c r="CN14" s="120"/>
      <c r="CO14" s="122"/>
      <c r="CQ14" s="120">
        <f>SUM(CQ10:CQ13)</f>
        <v>0</v>
      </c>
      <c r="CR14" s="138" t="s">
        <v>465</v>
      </c>
      <c r="CS14" s="121"/>
      <c r="CW14" s="120">
        <f>SUM(CW12:CW13)</f>
        <v>0</v>
      </c>
      <c r="CX14" s="138" t="s">
        <v>486</v>
      </c>
      <c r="DA14">
        <f t="shared" si="34"/>
        <v>0</v>
      </c>
      <c r="DB14" s="221" t="s">
        <v>342</v>
      </c>
      <c r="DC14" s="165" t="s">
        <v>584</v>
      </c>
      <c r="DD14" t="str">
        <f t="shared" si="14"/>
        <v>LLB302</v>
      </c>
      <c r="DE14" t="e">
        <f t="shared" si="37"/>
        <v>#N/A</v>
      </c>
      <c r="DF14" t="e">
        <f t="shared" si="16"/>
        <v>#N/A</v>
      </c>
      <c r="DG14" t="e">
        <f t="shared" si="35"/>
        <v>#N/A</v>
      </c>
      <c r="DH14" t="e">
        <f t="shared" si="17"/>
        <v>#N/A</v>
      </c>
      <c r="DI14" t="str">
        <f t="shared" si="18"/>
        <v xml:space="preserve"> Cstm  </v>
      </c>
      <c r="DJ14" t="e">
        <f t="shared" si="19"/>
        <v>#N/A</v>
      </c>
      <c r="DK14" t="b">
        <f t="shared" si="29"/>
        <v>1</v>
      </c>
      <c r="DL14" t="str">
        <f t="shared" si="30"/>
        <v/>
      </c>
      <c r="DR14" s="212" t="s">
        <v>919</v>
      </c>
      <c r="DT14" t="s">
        <v>652</v>
      </c>
      <c r="DU14" s="39">
        <v>60</v>
      </c>
      <c r="DV14" s="181" t="s">
        <v>951</v>
      </c>
      <c r="EG14" s="89" t="s">
        <v>9</v>
      </c>
      <c r="EH14" s="3" t="e">
        <f>VLOOKUP(1,BL11:BN16,3,FALSE)</f>
        <v>#N/A</v>
      </c>
      <c r="EI14" s="3"/>
      <c r="EJ14" s="89" t="s">
        <v>387</v>
      </c>
      <c r="EK14" s="3" t="e">
        <f>VLOOKUP(1,BI56:BJ58,2,FALSE)</f>
        <v>#N/A</v>
      </c>
      <c r="EM14" t="s">
        <v>398</v>
      </c>
    </row>
    <row r="15" spans="1:143" x14ac:dyDescent="0.3">
      <c r="A15" s="396"/>
      <c r="B15" s="232"/>
      <c r="C15" s="153" t="s">
        <v>1109</v>
      </c>
      <c r="D15" s="75"/>
      <c r="E15" s="75"/>
      <c r="F15" s="95"/>
      <c r="G15" s="55" t="s">
        <v>101</v>
      </c>
      <c r="H15" s="339"/>
      <c r="I15" s="51"/>
      <c r="J15" s="99"/>
      <c r="K15" s="100" t="s">
        <v>150</v>
      </c>
      <c r="L15" s="170"/>
      <c r="M15" s="329"/>
      <c r="N15" s="148"/>
      <c r="O15" s="267"/>
      <c r="P15" s="95"/>
      <c r="Q15" s="54" t="s">
        <v>163</v>
      </c>
      <c r="R15" s="53"/>
      <c r="S15" s="53"/>
      <c r="T15" s="53"/>
      <c r="U15" s="53"/>
      <c r="V15" s="53"/>
      <c r="W15" s="53"/>
      <c r="X15" s="53"/>
      <c r="Y15" s="53"/>
      <c r="Z15" s="53"/>
      <c r="AA15" s="53"/>
      <c r="AB15" s="53"/>
      <c r="AC15" s="53"/>
      <c r="AD15" s="53"/>
      <c r="AE15" s="53"/>
      <c r="AF15" s="53"/>
      <c r="AG15" s="53"/>
      <c r="AH15" s="70"/>
      <c r="AI15" s="70"/>
      <c r="AJ15" s="70" t="str">
        <f t="shared" ref="AJ15" si="43">IF(AQ15&gt;0,CONCATENATE("qty ",AQ15,") ",AR15,"   "),"")</f>
        <v/>
      </c>
      <c r="AK15" s="70"/>
      <c r="AL15" s="70"/>
      <c r="AM15" s="70"/>
      <c r="AN15" s="156" t="s">
        <v>211</v>
      </c>
      <c r="AO15" s="320">
        <f t="shared" si="31"/>
        <v>0</v>
      </c>
      <c r="AP15" s="321" t="b">
        <f t="shared" si="32"/>
        <v>0</v>
      </c>
      <c r="AQ15" s="321">
        <f t="shared" si="33"/>
        <v>0</v>
      </c>
      <c r="AR15" s="221" t="s">
        <v>1115</v>
      </c>
      <c r="AS15" s="24">
        <v>2430</v>
      </c>
      <c r="AT15" s="24">
        <f t="shared" si="4"/>
        <v>2630</v>
      </c>
      <c r="AU15" s="9">
        <f t="shared" si="20"/>
        <v>0</v>
      </c>
      <c r="AV15" s="17"/>
      <c r="AW15" s="142" t="s">
        <v>101</v>
      </c>
      <c r="AX15" s="35">
        <v>0</v>
      </c>
      <c r="AY15" s="35">
        <v>0</v>
      </c>
      <c r="BA15" s="9">
        <f t="shared" si="21"/>
        <v>0</v>
      </c>
      <c r="BB15" s="236" t="s">
        <v>101</v>
      </c>
      <c r="BD15" s="15">
        <f>IF(J15="",0,1)</f>
        <v>0</v>
      </c>
      <c r="BE15" s="36"/>
      <c r="BF15" s="7" t="s">
        <v>150</v>
      </c>
      <c r="BH15" s="69" t="s">
        <v>1174</v>
      </c>
      <c r="BL15" s="9">
        <f t="shared" si="42"/>
        <v>0</v>
      </c>
      <c r="BM15" s="43">
        <f>BL15*DU15</f>
        <v>0</v>
      </c>
      <c r="BN15" s="3" t="s">
        <v>167</v>
      </c>
      <c r="BQ15" s="70"/>
      <c r="BR15" s="33">
        <f t="shared" si="5"/>
        <v>0</v>
      </c>
      <c r="BS15" s="33">
        <f t="shared" si="22"/>
        <v>0</v>
      </c>
      <c r="BT15" s="156">
        <f t="shared" si="6"/>
        <v>0</v>
      </c>
      <c r="BU15" s="70">
        <f t="shared" si="23"/>
        <v>0</v>
      </c>
      <c r="BV15" s="70">
        <f t="shared" si="7"/>
        <v>0</v>
      </c>
      <c r="BW15" s="70">
        <f t="shared" si="8"/>
        <v>0</v>
      </c>
      <c r="BX15" s="70">
        <f t="shared" si="9"/>
        <v>0</v>
      </c>
      <c r="BY15">
        <f t="shared" si="27"/>
        <v>0</v>
      </c>
      <c r="BZ15" s="70">
        <f t="shared" si="36"/>
        <v>0</v>
      </c>
      <c r="CA15">
        <f t="shared" si="11"/>
        <v>0</v>
      </c>
      <c r="CB15">
        <f t="shared" si="12"/>
        <v>0</v>
      </c>
      <c r="CC15">
        <f t="shared" si="24"/>
        <v>0</v>
      </c>
      <c r="CD15" s="70"/>
      <c r="CE15" s="107">
        <f>SUM(CE12:CE14)</f>
        <v>0</v>
      </c>
      <c r="CF15" s="109" t="s">
        <v>411</v>
      </c>
      <c r="CH15" s="133">
        <f>+AO27</f>
        <v>0</v>
      </c>
      <c r="CI15" s="134" t="s">
        <v>353</v>
      </c>
      <c r="CK15" s="120"/>
      <c r="CL15" s="138"/>
      <c r="CN15" s="120" t="s">
        <v>446</v>
      </c>
      <c r="CO15" s="138"/>
      <c r="CQ15" s="120"/>
      <c r="CR15" s="138"/>
      <c r="CS15" s="121"/>
      <c r="CU15" s="3"/>
      <c r="CW15" s="120"/>
      <c r="CX15" s="122"/>
      <c r="DA15" s="70">
        <f t="shared" si="34"/>
        <v>0</v>
      </c>
      <c r="DB15" s="158" t="s">
        <v>1115</v>
      </c>
      <c r="DC15" s="322" t="s">
        <v>591</v>
      </c>
      <c r="DD15" s="70" t="str">
        <f t="shared" si="14"/>
        <v>LLB324</v>
      </c>
      <c r="DE15" s="70" t="e">
        <f t="shared" ref="DE15" si="44">VLOOKUP(1,DA15:DD15,4,FALSE)</f>
        <v>#N/A</v>
      </c>
      <c r="DF15" s="70" t="e">
        <f t="shared" si="16"/>
        <v>#N/A</v>
      </c>
      <c r="DG15" s="70" t="e">
        <f t="shared" si="35"/>
        <v>#N/A</v>
      </c>
      <c r="DH15" s="70" t="e">
        <f t="shared" si="17"/>
        <v>#N/A</v>
      </c>
      <c r="DI15" t="str">
        <f t="shared" si="18"/>
        <v xml:space="preserve"> Cstm  </v>
      </c>
      <c r="DJ15" s="70" t="e">
        <f t="shared" ref="DJ15" si="45">CONCATENATE(DE15,DF15,DG15,DH15,DI15)</f>
        <v>#N/A</v>
      </c>
      <c r="DK15" s="70" t="b">
        <f t="shared" ref="DK15" si="46">ISERROR(DJ15)</f>
        <v>1</v>
      </c>
      <c r="DL15" s="70" t="str">
        <f t="shared" ref="DL15" si="47">IF(DK15=FALSE,DJ15,"")</f>
        <v/>
      </c>
      <c r="DR15" s="212" t="s">
        <v>920</v>
      </c>
      <c r="DT15" t="s">
        <v>653</v>
      </c>
      <c r="DU15" s="39">
        <v>0</v>
      </c>
      <c r="DV15" s="181" t="s">
        <v>952</v>
      </c>
      <c r="EG15" s="89" t="s">
        <v>10</v>
      </c>
      <c r="EH15" s="3" t="e">
        <f>VLOOKUP(1,AZ59:BB61,3,FALSE)</f>
        <v>#N/A</v>
      </c>
      <c r="EI15" s="3"/>
      <c r="EJ15" s="89" t="s">
        <v>25</v>
      </c>
      <c r="EK15" s="3" t="e">
        <f>VLOOKUP(1,AX80:AZ83,3,FALSE)</f>
        <v>#N/A</v>
      </c>
      <c r="EM15" t="s">
        <v>398</v>
      </c>
    </row>
    <row r="16" spans="1:143" x14ac:dyDescent="0.3">
      <c r="A16" s="396"/>
      <c r="B16" s="232"/>
      <c r="C16" s="74" t="s">
        <v>52</v>
      </c>
      <c r="D16" s="75"/>
      <c r="E16" s="75"/>
      <c r="F16" s="95"/>
      <c r="G16" s="55" t="s">
        <v>1010</v>
      </c>
      <c r="H16" s="339"/>
      <c r="I16" s="51"/>
      <c r="J16" s="99"/>
      <c r="K16" s="52" t="s">
        <v>151</v>
      </c>
      <c r="L16" s="343" t="s">
        <v>1229</v>
      </c>
      <c r="M16" s="329"/>
      <c r="N16" s="148"/>
      <c r="O16" s="53"/>
      <c r="P16" s="99"/>
      <c r="Q16" s="51" t="s">
        <v>164</v>
      </c>
      <c r="R16" s="53"/>
      <c r="S16" s="53"/>
      <c r="T16" s="53"/>
      <c r="U16" s="53"/>
      <c r="V16" s="53"/>
      <c r="W16" s="53"/>
      <c r="X16" s="53"/>
      <c r="Y16" s="53"/>
      <c r="Z16" s="53"/>
      <c r="AA16" s="53"/>
      <c r="AB16" s="53"/>
      <c r="AC16" s="53"/>
      <c r="AD16" s="53"/>
      <c r="AE16" s="53"/>
      <c r="AF16" s="53"/>
      <c r="AG16" s="53"/>
      <c r="AJ16" t="str">
        <f t="shared" si="0"/>
        <v/>
      </c>
      <c r="AN16" s="2" t="s">
        <v>211</v>
      </c>
      <c r="AO16" s="9">
        <f t="shared" si="31"/>
        <v>0</v>
      </c>
      <c r="AP16" s="16" t="b">
        <f t="shared" si="32"/>
        <v>0</v>
      </c>
      <c r="AQ16" s="16">
        <f t="shared" si="33"/>
        <v>0</v>
      </c>
      <c r="AR16" s="4" t="s">
        <v>343</v>
      </c>
      <c r="AS16" s="24">
        <v>2430</v>
      </c>
      <c r="AT16" s="24">
        <f t="shared" si="4"/>
        <v>2630</v>
      </c>
      <c r="AU16" s="9">
        <f t="shared" si="20"/>
        <v>0</v>
      </c>
      <c r="AV16" s="17"/>
      <c r="AW16" s="142" t="s">
        <v>1010</v>
      </c>
      <c r="AX16" s="35">
        <v>0</v>
      </c>
      <c r="AY16" s="35">
        <v>0</v>
      </c>
      <c r="BA16" s="9">
        <f t="shared" si="21"/>
        <v>0</v>
      </c>
      <c r="BB16" s="236" t="s">
        <v>1010</v>
      </c>
      <c r="BD16" s="15">
        <f>IF(J16="",0,1)</f>
        <v>0</v>
      </c>
      <c r="BE16" s="36"/>
      <c r="BF16" s="7" t="s">
        <v>151</v>
      </c>
      <c r="BH16" s="62">
        <f>IF(M15="",0,1)</f>
        <v>0</v>
      </c>
      <c r="BI16" t="s">
        <v>1175</v>
      </c>
      <c r="BL16" s="9">
        <f t="shared" si="42"/>
        <v>0</v>
      </c>
      <c r="BM16" s="43">
        <f>BL16*DU16</f>
        <v>0</v>
      </c>
      <c r="BN16" s="3" t="s">
        <v>998</v>
      </c>
      <c r="BR16" s="33">
        <f t="shared" si="5"/>
        <v>0</v>
      </c>
      <c r="BS16" s="33">
        <f t="shared" si="22"/>
        <v>0</v>
      </c>
      <c r="BT16" s="2">
        <f t="shared" si="6"/>
        <v>0</v>
      </c>
      <c r="BU16">
        <f t="shared" si="23"/>
        <v>0</v>
      </c>
      <c r="BV16">
        <f t="shared" si="7"/>
        <v>0</v>
      </c>
      <c r="BW16">
        <f t="shared" si="8"/>
        <v>0</v>
      </c>
      <c r="BX16">
        <f t="shared" si="9"/>
        <v>0</v>
      </c>
      <c r="BY16">
        <f t="shared" si="27"/>
        <v>0</v>
      </c>
      <c r="BZ16">
        <f t="shared" si="36"/>
        <v>0</v>
      </c>
      <c r="CA16">
        <f t="shared" si="11"/>
        <v>0</v>
      </c>
      <c r="CB16">
        <f t="shared" si="12"/>
        <v>0</v>
      </c>
      <c r="CC16">
        <f t="shared" si="24"/>
        <v>0</v>
      </c>
      <c r="CE16" s="107"/>
      <c r="CF16" s="109"/>
      <c r="CH16" s="133"/>
      <c r="CI16" s="134"/>
      <c r="CK16" s="120"/>
      <c r="CL16" s="138"/>
      <c r="CN16" s="120">
        <f>+BF7</f>
        <v>0</v>
      </c>
      <c r="CO16" s="138" t="s">
        <v>447</v>
      </c>
      <c r="CQ16" s="127">
        <f>+CQ14*CQ8</f>
        <v>0</v>
      </c>
      <c r="CR16" s="140" t="s">
        <v>452</v>
      </c>
      <c r="CS16" s="121"/>
      <c r="CT16" s="118" t="s">
        <v>477</v>
      </c>
      <c r="CU16" s="119"/>
      <c r="CW16" s="123">
        <f>+CW14*CW10</f>
        <v>0</v>
      </c>
      <c r="CX16" s="139" t="s">
        <v>444</v>
      </c>
      <c r="CZ16" s="121"/>
      <c r="DA16">
        <f t="shared" si="34"/>
        <v>0</v>
      </c>
      <c r="DB16" s="221" t="s">
        <v>343</v>
      </c>
      <c r="DC16" s="165" t="s">
        <v>585</v>
      </c>
      <c r="DD16" t="str">
        <f t="shared" si="14"/>
        <v>LLB344</v>
      </c>
      <c r="DE16" t="e">
        <f t="shared" si="37"/>
        <v>#N/A</v>
      </c>
      <c r="DF16" t="e">
        <f t="shared" si="16"/>
        <v>#N/A</v>
      </c>
      <c r="DG16" t="e">
        <f t="shared" si="35"/>
        <v>#N/A</v>
      </c>
      <c r="DH16" t="e">
        <f t="shared" si="17"/>
        <v>#N/A</v>
      </c>
      <c r="DI16" t="str">
        <f t="shared" si="18"/>
        <v xml:space="preserve"> Cstm  </v>
      </c>
      <c r="DJ16" t="e">
        <f t="shared" si="19"/>
        <v>#N/A</v>
      </c>
      <c r="DK16" t="b">
        <f t="shared" si="29"/>
        <v>1</v>
      </c>
      <c r="DL16" t="str">
        <f t="shared" si="30"/>
        <v/>
      </c>
      <c r="DR16" s="212" t="s">
        <v>1000</v>
      </c>
      <c r="DT16" s="3" t="s">
        <v>998</v>
      </c>
      <c r="DU16" s="39">
        <v>0</v>
      </c>
      <c r="DV16" s="181"/>
      <c r="EM16" t="s">
        <v>398</v>
      </c>
    </row>
    <row r="17" spans="1:143" ht="15.6" x14ac:dyDescent="0.3">
      <c r="A17" s="396"/>
      <c r="B17" s="232"/>
      <c r="C17" s="74" t="s">
        <v>53</v>
      </c>
      <c r="D17" s="75"/>
      <c r="E17" s="75"/>
      <c r="F17" s="95"/>
      <c r="G17" s="55" t="s">
        <v>130</v>
      </c>
      <c r="H17" s="339"/>
      <c r="I17" s="51"/>
      <c r="J17" s="51"/>
      <c r="K17" s="51"/>
      <c r="L17" s="51"/>
      <c r="M17" s="51"/>
      <c r="N17" s="51"/>
      <c r="O17" s="53"/>
      <c r="P17" s="99"/>
      <c r="Q17" s="51" t="s">
        <v>165</v>
      </c>
      <c r="R17" s="53"/>
      <c r="S17" s="53"/>
      <c r="T17" s="53"/>
      <c r="U17" s="53"/>
      <c r="V17" s="53"/>
      <c r="W17" s="53"/>
      <c r="X17" s="53"/>
      <c r="Y17" s="53"/>
      <c r="Z17" s="53"/>
      <c r="AA17" s="53"/>
      <c r="AB17" s="53"/>
      <c r="AC17" s="53"/>
      <c r="AD17" s="53"/>
      <c r="AE17" s="53"/>
      <c r="AF17" s="53"/>
      <c r="AG17" s="53"/>
      <c r="AJ17" t="str">
        <f t="shared" si="0"/>
        <v/>
      </c>
      <c r="AN17" s="2" t="s">
        <v>211</v>
      </c>
      <c r="AO17" s="9">
        <f t="shared" si="31"/>
        <v>0</v>
      </c>
      <c r="AP17" s="16" t="b">
        <f t="shared" si="32"/>
        <v>0</v>
      </c>
      <c r="AQ17" s="16">
        <f t="shared" si="33"/>
        <v>0</v>
      </c>
      <c r="AR17" s="4" t="s">
        <v>344</v>
      </c>
      <c r="AS17" s="24">
        <v>2430</v>
      </c>
      <c r="AT17" s="24">
        <f t="shared" si="4"/>
        <v>2630</v>
      </c>
      <c r="AU17" s="9">
        <f t="shared" si="20"/>
        <v>0</v>
      </c>
      <c r="AV17" s="17"/>
      <c r="AW17" s="142" t="s">
        <v>130</v>
      </c>
      <c r="AX17" s="35">
        <v>50</v>
      </c>
      <c r="AY17" s="35">
        <v>50</v>
      </c>
      <c r="BA17" s="9">
        <f t="shared" si="21"/>
        <v>0</v>
      </c>
      <c r="BB17" s="236" t="s">
        <v>130</v>
      </c>
      <c r="BC17" s="10" t="s">
        <v>204</v>
      </c>
      <c r="BD17">
        <f>SUM(BD15:BD16)</f>
        <v>0</v>
      </c>
      <c r="BE17" s="49"/>
      <c r="BH17" s="62">
        <f>IF(M16="",0,1)</f>
        <v>0</v>
      </c>
      <c r="BI17" t="s">
        <v>1176</v>
      </c>
      <c r="BK17" s="3" t="s">
        <v>204</v>
      </c>
      <c r="BL17" s="9">
        <f>SUM(BL11:BL16)</f>
        <v>0</v>
      </c>
      <c r="BM17" s="44">
        <f>SUM(BM11:BM16)</f>
        <v>0</v>
      </c>
      <c r="BN17" s="24" t="s">
        <v>227</v>
      </c>
      <c r="BR17" s="33">
        <f t="shared" si="5"/>
        <v>0</v>
      </c>
      <c r="BS17" s="33">
        <f t="shared" si="22"/>
        <v>0</v>
      </c>
      <c r="BT17" s="2">
        <f t="shared" si="6"/>
        <v>0</v>
      </c>
      <c r="BU17">
        <f t="shared" si="23"/>
        <v>0</v>
      </c>
      <c r="BV17">
        <f t="shared" si="7"/>
        <v>0</v>
      </c>
      <c r="BW17">
        <f t="shared" si="8"/>
        <v>0</v>
      </c>
      <c r="BX17">
        <f t="shared" si="9"/>
        <v>0</v>
      </c>
      <c r="BY17">
        <f t="shared" si="27"/>
        <v>0</v>
      </c>
      <c r="BZ17">
        <f t="shared" si="36"/>
        <v>0</v>
      </c>
      <c r="CA17">
        <f t="shared" si="11"/>
        <v>0</v>
      </c>
      <c r="CB17">
        <f t="shared" si="12"/>
        <v>0</v>
      </c>
      <c r="CC17">
        <f t="shared" si="24"/>
        <v>0</v>
      </c>
      <c r="CE17" s="107">
        <f>IF(CE15*CE9&gt;0,1,0)</f>
        <v>0</v>
      </c>
      <c r="CF17" s="109" t="s">
        <v>439</v>
      </c>
      <c r="CH17" s="133"/>
      <c r="CI17" s="134"/>
      <c r="CK17" s="120"/>
      <c r="CL17" s="137"/>
      <c r="CN17" s="120"/>
      <c r="CO17" s="122"/>
      <c r="CR17" s="3"/>
      <c r="CS17" s="121"/>
      <c r="CT17" s="120"/>
      <c r="CU17" s="144" t="s">
        <v>479</v>
      </c>
      <c r="CW17" s="125"/>
      <c r="CX17" s="126"/>
      <c r="CZ17" s="121"/>
      <c r="DA17">
        <f t="shared" si="34"/>
        <v>0</v>
      </c>
      <c r="DB17" s="221" t="s">
        <v>344</v>
      </c>
      <c r="DC17" s="165" t="s">
        <v>586</v>
      </c>
      <c r="DD17" t="str">
        <f t="shared" si="14"/>
        <v>LLB364</v>
      </c>
      <c r="DE17" t="e">
        <f t="shared" si="37"/>
        <v>#N/A</v>
      </c>
      <c r="DF17" t="e">
        <f t="shared" si="16"/>
        <v>#N/A</v>
      </c>
      <c r="DG17" t="e">
        <f t="shared" si="35"/>
        <v>#N/A</v>
      </c>
      <c r="DH17" t="e">
        <f t="shared" si="17"/>
        <v>#N/A</v>
      </c>
      <c r="DI17" t="str">
        <f t="shared" si="18"/>
        <v xml:space="preserve"> Cstm  </v>
      </c>
      <c r="DJ17" t="e">
        <f t="shared" si="19"/>
        <v>#N/A</v>
      </c>
      <c r="DK17" t="b">
        <f t="shared" si="29"/>
        <v>1</v>
      </c>
      <c r="DL17" t="str">
        <f t="shared" si="30"/>
        <v/>
      </c>
      <c r="DR17" s="212"/>
      <c r="DT17" s="192" t="s">
        <v>257</v>
      </c>
      <c r="DU17" s="39"/>
      <c r="DV17" s="181"/>
      <c r="EG17" s="66" t="str">
        <f>IF(AQ69=1,"Tom Tom",CONCATENATE(AQ69," Tom Toms Chosen"))</f>
        <v>0 Tom Toms Chosen</v>
      </c>
      <c r="EH17" s="187" t="s">
        <v>639</v>
      </c>
      <c r="EM17" t="s">
        <v>398</v>
      </c>
    </row>
    <row r="18" spans="1:143" ht="15" customHeight="1" x14ac:dyDescent="0.3">
      <c r="A18" s="396"/>
      <c r="B18" s="232"/>
      <c r="C18" s="74" t="s">
        <v>54</v>
      </c>
      <c r="D18" s="75"/>
      <c r="E18" s="75"/>
      <c r="F18" s="95"/>
      <c r="G18" s="55" t="s">
        <v>126</v>
      </c>
      <c r="H18" s="339"/>
      <c r="I18" s="51"/>
      <c r="J18" s="51"/>
      <c r="K18" s="51"/>
      <c r="L18" s="51"/>
      <c r="M18" s="51"/>
      <c r="N18" s="51"/>
      <c r="O18" s="53"/>
      <c r="P18" s="99"/>
      <c r="Q18" s="51" t="s">
        <v>166</v>
      </c>
      <c r="R18" s="53"/>
      <c r="S18" s="53"/>
      <c r="T18" s="53"/>
      <c r="U18" s="53"/>
      <c r="V18" s="53"/>
      <c r="W18" s="53"/>
      <c r="X18" s="53"/>
      <c r="Y18" s="53"/>
      <c r="Z18" s="53"/>
      <c r="AA18" s="53"/>
      <c r="AB18" s="53"/>
      <c r="AC18" s="53"/>
      <c r="AD18" s="53"/>
      <c r="AE18" s="53"/>
      <c r="AF18" s="53"/>
      <c r="AG18" s="53"/>
      <c r="AJ18" t="str">
        <f t="shared" si="0"/>
        <v/>
      </c>
      <c r="AN18" s="2" t="s">
        <v>211</v>
      </c>
      <c r="AO18" s="9">
        <f t="shared" si="31"/>
        <v>0</v>
      </c>
      <c r="AP18" s="16" t="b">
        <f t="shared" si="32"/>
        <v>0</v>
      </c>
      <c r="AQ18" s="16">
        <f t="shared" si="33"/>
        <v>0</v>
      </c>
      <c r="AR18" s="4" t="s">
        <v>345</v>
      </c>
      <c r="AS18" s="24">
        <v>2430</v>
      </c>
      <c r="AT18" s="24">
        <f t="shared" si="4"/>
        <v>2630</v>
      </c>
      <c r="AU18" s="9">
        <f t="shared" si="20"/>
        <v>0</v>
      </c>
      <c r="AV18" s="17"/>
      <c r="AW18" s="142" t="s">
        <v>126</v>
      </c>
      <c r="AX18" s="35">
        <v>0</v>
      </c>
      <c r="AY18" s="35">
        <v>0</v>
      </c>
      <c r="BA18" s="9">
        <f t="shared" si="21"/>
        <v>0</v>
      </c>
      <c r="BB18" s="236" t="s">
        <v>126</v>
      </c>
      <c r="BG18" s="38"/>
      <c r="BH18">
        <f>SUM(BH16:BH17)</f>
        <v>0</v>
      </c>
      <c r="BI18" t="s">
        <v>204</v>
      </c>
      <c r="BR18" s="33">
        <f t="shared" si="5"/>
        <v>0</v>
      </c>
      <c r="BS18" s="33">
        <f t="shared" si="22"/>
        <v>0</v>
      </c>
      <c r="BT18" s="2">
        <f t="shared" si="6"/>
        <v>0</v>
      </c>
      <c r="BU18">
        <f t="shared" si="23"/>
        <v>0</v>
      </c>
      <c r="BV18">
        <f t="shared" si="7"/>
        <v>0</v>
      </c>
      <c r="BW18">
        <f t="shared" si="8"/>
        <v>0</v>
      </c>
      <c r="BX18">
        <f t="shared" si="9"/>
        <v>0</v>
      </c>
      <c r="BY18">
        <f t="shared" si="27"/>
        <v>0</v>
      </c>
      <c r="BZ18">
        <f t="shared" si="36"/>
        <v>0</v>
      </c>
      <c r="CA18">
        <f t="shared" si="11"/>
        <v>0</v>
      </c>
      <c r="CB18">
        <f t="shared" si="12"/>
        <v>0</v>
      </c>
      <c r="CC18">
        <f t="shared" si="24"/>
        <v>0</v>
      </c>
      <c r="CE18" s="107"/>
      <c r="CF18" s="109"/>
      <c r="CH18" s="133"/>
      <c r="CI18" s="134"/>
      <c r="CK18" s="120"/>
      <c r="CL18" s="137"/>
      <c r="CN18" s="120"/>
      <c r="CO18" s="138" t="s">
        <v>360</v>
      </c>
      <c r="CR18" s="3"/>
      <c r="CS18" s="121"/>
      <c r="CT18" s="120">
        <f>+AO14</f>
        <v>0</v>
      </c>
      <c r="CU18" s="138" t="s">
        <v>342</v>
      </c>
      <c r="CZ18" s="121"/>
      <c r="DA18">
        <f t="shared" si="34"/>
        <v>0</v>
      </c>
      <c r="DB18" s="221" t="s">
        <v>345</v>
      </c>
      <c r="DC18" s="165" t="s">
        <v>587</v>
      </c>
      <c r="DD18" t="str">
        <f t="shared" si="14"/>
        <v>LLB384</v>
      </c>
      <c r="DE18" t="e">
        <f t="shared" si="37"/>
        <v>#N/A</v>
      </c>
      <c r="DF18" t="e">
        <f t="shared" si="16"/>
        <v>#N/A</v>
      </c>
      <c r="DG18" t="e">
        <f t="shared" si="35"/>
        <v>#N/A</v>
      </c>
      <c r="DH18" t="e">
        <f t="shared" si="17"/>
        <v>#N/A</v>
      </c>
      <c r="DI18" t="str">
        <f t="shared" si="18"/>
        <v xml:space="preserve"> Cstm  </v>
      </c>
      <c r="DJ18" t="e">
        <f t="shared" si="19"/>
        <v>#N/A</v>
      </c>
      <c r="DK18" t="b">
        <f t="shared" si="29"/>
        <v>1</v>
      </c>
      <c r="DL18" t="str">
        <f t="shared" si="30"/>
        <v/>
      </c>
      <c r="DR18" s="212" t="s">
        <v>921</v>
      </c>
      <c r="DT18" t="s">
        <v>153</v>
      </c>
      <c r="DU18" s="39">
        <v>25</v>
      </c>
      <c r="DV18" s="181" t="s">
        <v>953</v>
      </c>
      <c r="EG18" s="399" t="str">
        <f>+DN56</f>
        <v/>
      </c>
      <c r="EH18" s="388"/>
      <c r="EI18" s="388"/>
      <c r="EJ18" s="388"/>
      <c r="EK18" s="388"/>
      <c r="EM18" t="s">
        <v>398</v>
      </c>
    </row>
    <row r="19" spans="1:143" ht="15" customHeight="1" x14ac:dyDescent="0.3">
      <c r="A19" s="396"/>
      <c r="B19" s="232"/>
      <c r="C19" s="74" t="s">
        <v>55</v>
      </c>
      <c r="D19" s="75"/>
      <c r="E19" s="75"/>
      <c r="F19" s="95"/>
      <c r="G19" s="55" t="s">
        <v>106</v>
      </c>
      <c r="H19" s="339"/>
      <c r="I19" s="51"/>
      <c r="J19" s="51"/>
      <c r="K19" s="60" t="s">
        <v>7</v>
      </c>
      <c r="L19" s="51"/>
      <c r="M19" s="294" t="s">
        <v>1096</v>
      </c>
      <c r="N19" s="269"/>
      <c r="O19" s="271"/>
      <c r="P19" s="99"/>
      <c r="Q19" s="51" t="s">
        <v>167</v>
      </c>
      <c r="R19" s="53"/>
      <c r="S19" s="53"/>
      <c r="T19" s="53"/>
      <c r="U19" s="53"/>
      <c r="V19" s="53"/>
      <c r="W19" s="53"/>
      <c r="X19" s="53"/>
      <c r="Y19" s="53"/>
      <c r="Z19" s="53"/>
      <c r="AA19" s="53"/>
      <c r="AB19" s="53"/>
      <c r="AC19" s="53"/>
      <c r="AD19" s="53"/>
      <c r="AE19" s="53"/>
      <c r="AF19" s="53"/>
      <c r="AG19" s="53"/>
      <c r="AJ19" t="str">
        <f t="shared" si="0"/>
        <v/>
      </c>
      <c r="AN19" s="2" t="s">
        <v>211</v>
      </c>
      <c r="AO19" s="9">
        <f t="shared" si="31"/>
        <v>0</v>
      </c>
      <c r="AP19" s="16" t="b">
        <f t="shared" si="32"/>
        <v>0</v>
      </c>
      <c r="AQ19" s="16">
        <f t="shared" si="33"/>
        <v>0</v>
      </c>
      <c r="AR19" s="4" t="s">
        <v>346</v>
      </c>
      <c r="AS19" s="24">
        <v>2430</v>
      </c>
      <c r="AT19" s="24">
        <f t="shared" si="4"/>
        <v>2630</v>
      </c>
      <c r="AU19" s="9">
        <f t="shared" si="20"/>
        <v>0</v>
      </c>
      <c r="AV19" s="17"/>
      <c r="AW19" s="142" t="s">
        <v>106</v>
      </c>
      <c r="AX19" s="35">
        <v>0</v>
      </c>
      <c r="AY19" s="35">
        <v>0</v>
      </c>
      <c r="BA19" s="9">
        <f t="shared" si="21"/>
        <v>0</v>
      </c>
      <c r="BB19" s="236" t="s">
        <v>106</v>
      </c>
      <c r="BD19" t="s">
        <v>204</v>
      </c>
      <c r="BE19" s="36" t="s">
        <v>227</v>
      </c>
      <c r="BF19" s="36"/>
      <c r="BG19" s="38" t="s">
        <v>7</v>
      </c>
      <c r="BH19" s="156" t="s">
        <v>564</v>
      </c>
      <c r="BR19" s="33">
        <f t="shared" si="5"/>
        <v>0</v>
      </c>
      <c r="BS19" s="33">
        <f t="shared" si="22"/>
        <v>0</v>
      </c>
      <c r="BT19" s="2">
        <f t="shared" si="6"/>
        <v>0</v>
      </c>
      <c r="BU19">
        <f t="shared" si="23"/>
        <v>0</v>
      </c>
      <c r="BV19">
        <f t="shared" si="7"/>
        <v>0</v>
      </c>
      <c r="BW19">
        <f t="shared" si="8"/>
        <v>0</v>
      </c>
      <c r="BX19">
        <f t="shared" si="9"/>
        <v>0</v>
      </c>
      <c r="BY19">
        <f t="shared" si="27"/>
        <v>0</v>
      </c>
      <c r="BZ19">
        <f t="shared" si="36"/>
        <v>0</v>
      </c>
      <c r="CA19">
        <f t="shared" si="11"/>
        <v>0</v>
      </c>
      <c r="CB19">
        <f t="shared" si="12"/>
        <v>0</v>
      </c>
      <c r="CC19">
        <f t="shared" si="24"/>
        <v>0</v>
      </c>
      <c r="CH19" s="133">
        <f>+AO34</f>
        <v>0</v>
      </c>
      <c r="CI19" s="134" t="s">
        <v>361</v>
      </c>
      <c r="CK19" s="120" t="s">
        <v>435</v>
      </c>
      <c r="CL19" s="122"/>
      <c r="CN19" s="120">
        <f>+AO34</f>
        <v>0</v>
      </c>
      <c r="CO19" s="138" t="s">
        <v>361</v>
      </c>
      <c r="CQ19" s="118" t="s">
        <v>467</v>
      </c>
      <c r="CR19" s="141"/>
      <c r="CS19" s="121"/>
      <c r="CT19" s="120">
        <f>+AO19</f>
        <v>0</v>
      </c>
      <c r="CU19" s="138" t="s">
        <v>346</v>
      </c>
      <c r="CZ19" s="121"/>
      <c r="DA19">
        <f t="shared" si="34"/>
        <v>0</v>
      </c>
      <c r="DB19" s="221" t="s">
        <v>346</v>
      </c>
      <c r="DC19" s="165" t="s">
        <v>588</v>
      </c>
      <c r="DD19" t="str">
        <f t="shared" si="14"/>
        <v>LLB304</v>
      </c>
      <c r="DE19" t="e">
        <f t="shared" si="37"/>
        <v>#N/A</v>
      </c>
      <c r="DF19" t="e">
        <f t="shared" si="16"/>
        <v>#N/A</v>
      </c>
      <c r="DG19" t="e">
        <f t="shared" si="35"/>
        <v>#N/A</v>
      </c>
      <c r="DH19" t="e">
        <f t="shared" si="17"/>
        <v>#N/A</v>
      </c>
      <c r="DI19" t="str">
        <f t="shared" si="18"/>
        <v xml:space="preserve"> Cstm  </v>
      </c>
      <c r="DJ19" t="e">
        <f t="shared" si="19"/>
        <v>#N/A</v>
      </c>
      <c r="DK19" t="b">
        <f t="shared" si="29"/>
        <v>1</v>
      </c>
      <c r="DL19" t="str">
        <f t="shared" si="30"/>
        <v/>
      </c>
      <c r="DR19" s="212" t="s">
        <v>922</v>
      </c>
      <c r="DT19" t="s">
        <v>154</v>
      </c>
      <c r="DU19" s="39">
        <v>95</v>
      </c>
      <c r="DV19" s="181" t="s">
        <v>954</v>
      </c>
      <c r="EG19" s="89" t="s">
        <v>0</v>
      </c>
      <c r="EH19" s="5" t="str">
        <f>IF(AZ69=1,"Legacy Exotic, LXTTCUSTOM","Legacy Classic, LCTTCUSTOM")</f>
        <v>Legacy Classic, LCTTCUSTOM</v>
      </c>
      <c r="EI19" s="3"/>
      <c r="EJ19" s="10"/>
      <c r="EK19" s="186"/>
      <c r="EM19" t="s">
        <v>398</v>
      </c>
    </row>
    <row r="20" spans="1:143" ht="15" thickBot="1" x14ac:dyDescent="0.35">
      <c r="A20" s="396"/>
      <c r="B20" s="232"/>
      <c r="C20" s="153" t="s">
        <v>1110</v>
      </c>
      <c r="D20" s="75"/>
      <c r="E20" s="75"/>
      <c r="F20" s="95"/>
      <c r="G20" s="55" t="s">
        <v>1247</v>
      </c>
      <c r="H20" s="339"/>
      <c r="I20" s="51"/>
      <c r="J20" s="51"/>
      <c r="K20" s="99"/>
      <c r="L20" s="340" t="s">
        <v>152</v>
      </c>
      <c r="M20" s="51"/>
      <c r="N20" s="51"/>
      <c r="O20"/>
      <c r="P20" s="211"/>
      <c r="Q20" s="51" t="s">
        <v>998</v>
      </c>
      <c r="R20"/>
      <c r="S20" s="53"/>
      <c r="T20" s="53"/>
      <c r="U20" s="53"/>
      <c r="V20" s="53"/>
      <c r="W20" s="53"/>
      <c r="X20" s="53"/>
      <c r="Y20" s="53"/>
      <c r="Z20" s="53"/>
      <c r="AA20" s="53"/>
      <c r="AB20" s="53"/>
      <c r="AC20" s="53"/>
      <c r="AD20" s="53"/>
      <c r="AE20" s="53"/>
      <c r="AF20" s="53"/>
      <c r="AG20" s="53"/>
      <c r="AH20" s="70"/>
      <c r="AI20" s="70"/>
      <c r="AJ20" s="70" t="str">
        <f t="shared" ref="AJ20" si="48">IF(AQ20&gt;0,CONCATENATE("qty ",AQ20,") ",AR20,"   "),"")</f>
        <v/>
      </c>
      <c r="AK20" s="70"/>
      <c r="AL20" s="70"/>
      <c r="AM20" s="70"/>
      <c r="AN20" s="156" t="s">
        <v>211</v>
      </c>
      <c r="AO20" s="320">
        <f t="shared" si="31"/>
        <v>0</v>
      </c>
      <c r="AP20" s="321" t="b">
        <f t="shared" si="32"/>
        <v>0</v>
      </c>
      <c r="AQ20" s="321">
        <f t="shared" si="33"/>
        <v>0</v>
      </c>
      <c r="AR20" s="221" t="s">
        <v>1116</v>
      </c>
      <c r="AS20" s="24">
        <v>2450</v>
      </c>
      <c r="AT20" s="24">
        <f t="shared" si="4"/>
        <v>2650</v>
      </c>
      <c r="AU20" s="9">
        <f t="shared" si="20"/>
        <v>0</v>
      </c>
      <c r="AV20" s="17"/>
      <c r="AW20" s="142" t="s">
        <v>1247</v>
      </c>
      <c r="AX20" s="35">
        <v>0</v>
      </c>
      <c r="AY20" s="35">
        <v>0</v>
      </c>
      <c r="BA20" s="9">
        <f t="shared" si="21"/>
        <v>0</v>
      </c>
      <c r="BB20" s="236" t="s">
        <v>1247</v>
      </c>
      <c r="BD20" s="15">
        <f>IF(K20="",0,1)</f>
        <v>0</v>
      </c>
      <c r="BE20" s="39">
        <v>0</v>
      </c>
      <c r="BF20" s="39">
        <f>+BD20*BE20</f>
        <v>0</v>
      </c>
      <c r="BG20" s="151" t="s">
        <v>152</v>
      </c>
      <c r="BH20" s="156" t="s">
        <v>545</v>
      </c>
      <c r="BQ20" s="70"/>
      <c r="BR20" s="33">
        <f t="shared" si="5"/>
        <v>0</v>
      </c>
      <c r="BS20" s="33">
        <f t="shared" si="22"/>
        <v>0</v>
      </c>
      <c r="BT20" s="156">
        <f t="shared" si="6"/>
        <v>0</v>
      </c>
      <c r="BU20" s="70">
        <f t="shared" si="23"/>
        <v>0</v>
      </c>
      <c r="BV20" s="70">
        <f t="shared" si="7"/>
        <v>0</v>
      </c>
      <c r="BW20" s="70">
        <f t="shared" si="8"/>
        <v>0</v>
      </c>
      <c r="BX20" s="70">
        <f t="shared" si="9"/>
        <v>0</v>
      </c>
      <c r="BY20">
        <f t="shared" si="27"/>
        <v>0</v>
      </c>
      <c r="BZ20" s="70">
        <f t="shared" si="36"/>
        <v>0</v>
      </c>
      <c r="CA20">
        <f t="shared" si="11"/>
        <v>0</v>
      </c>
      <c r="CB20">
        <f t="shared" si="12"/>
        <v>0</v>
      </c>
      <c r="CC20">
        <f t="shared" si="24"/>
        <v>0</v>
      </c>
      <c r="CD20" s="70"/>
      <c r="CE20" s="108" t="s">
        <v>414</v>
      </c>
      <c r="CF20" s="108"/>
      <c r="CH20" s="133">
        <f>+AO35</f>
        <v>0</v>
      </c>
      <c r="CI20" s="134" t="s">
        <v>362</v>
      </c>
      <c r="CK20" s="120">
        <f t="shared" ref="CK20:CK34" si="49">+AU62</f>
        <v>0</v>
      </c>
      <c r="CL20" s="324" t="s">
        <v>1131</v>
      </c>
      <c r="CN20" s="120">
        <f>SUM(CN18:CN19)</f>
        <v>0</v>
      </c>
      <c r="CO20" s="138" t="s">
        <v>449</v>
      </c>
      <c r="CQ20" s="120">
        <f>+BH46</f>
        <v>0</v>
      </c>
      <c r="CR20" s="138" t="s">
        <v>258</v>
      </c>
      <c r="CS20" s="121"/>
      <c r="CT20" s="120">
        <f>SUM(CT18:CT19)</f>
        <v>0</v>
      </c>
      <c r="CU20" s="138" t="s">
        <v>449</v>
      </c>
      <c r="CW20" s="118" t="s">
        <v>488</v>
      </c>
      <c r="CX20" s="119"/>
      <c r="CZ20" s="121"/>
      <c r="DA20" s="70">
        <f t="shared" si="34"/>
        <v>0</v>
      </c>
      <c r="DB20" s="158" t="s">
        <v>1116</v>
      </c>
      <c r="DC20" s="322" t="s">
        <v>1154</v>
      </c>
      <c r="DD20" s="70" t="str">
        <f t="shared" si="14"/>
        <v>LLB326</v>
      </c>
      <c r="DE20" s="70" t="e">
        <f t="shared" si="37"/>
        <v>#N/A</v>
      </c>
      <c r="DF20" s="70" t="e">
        <f t="shared" si="16"/>
        <v>#N/A</v>
      </c>
      <c r="DG20" s="70" t="e">
        <f t="shared" si="35"/>
        <v>#N/A</v>
      </c>
      <c r="DH20" s="70" t="e">
        <f t="shared" si="17"/>
        <v>#N/A</v>
      </c>
      <c r="DI20" t="str">
        <f t="shared" si="18"/>
        <v xml:space="preserve"> Cstm  </v>
      </c>
      <c r="DJ20" s="70" t="e">
        <f t="shared" ref="DJ20" si="50">CONCATENATE(DE20,DF20,DG20,DH20,DI20)</f>
        <v>#N/A</v>
      </c>
      <c r="DK20" s="70" t="b">
        <f t="shared" ref="DK20" si="51">ISERROR(DJ20)</f>
        <v>1</v>
      </c>
      <c r="DL20" s="70" t="str">
        <f t="shared" ref="DL20" si="52">IF(DK20=FALSE,DJ20,"")</f>
        <v/>
      </c>
      <c r="DR20" s="212" t="s">
        <v>923</v>
      </c>
      <c r="DT20" t="s">
        <v>155</v>
      </c>
      <c r="DU20" s="39">
        <v>100</v>
      </c>
      <c r="DV20" s="181" t="s">
        <v>955</v>
      </c>
      <c r="EG20" s="89" t="s">
        <v>1</v>
      </c>
      <c r="EH20" s="3" t="s">
        <v>400</v>
      </c>
      <c r="EI20" s="3"/>
      <c r="EJ20" s="3"/>
      <c r="EK20" s="3"/>
      <c r="EM20" t="s">
        <v>398</v>
      </c>
    </row>
    <row r="21" spans="1:143" ht="15.6" x14ac:dyDescent="0.3">
      <c r="A21" s="396"/>
      <c r="B21" s="232"/>
      <c r="C21" s="74" t="s">
        <v>56</v>
      </c>
      <c r="D21" s="75"/>
      <c r="E21" s="75"/>
      <c r="F21" s="95"/>
      <c r="G21" s="55" t="s">
        <v>129</v>
      </c>
      <c r="H21" s="339"/>
      <c r="I21" s="51"/>
      <c r="J21" s="51"/>
      <c r="K21" s="99"/>
      <c r="L21" s="341" t="str">
        <f>IF(BD16=1, "P7184A CHROME Elite Casting", "P7184A Elite Bass Casting")</f>
        <v>P7184A Elite Bass Casting</v>
      </c>
      <c r="M21" s="51"/>
      <c r="N21" s="51"/>
      <c r="O21" s="51"/>
      <c r="P21" s="114" t="s">
        <v>466</v>
      </c>
      <c r="Q21" s="53"/>
      <c r="R21" s="53"/>
      <c r="S21" s="53"/>
      <c r="T21" s="53"/>
      <c r="U21" s="53"/>
      <c r="V21" s="53"/>
      <c r="W21" s="53"/>
      <c r="X21" s="53"/>
      <c r="Y21" s="53"/>
      <c r="Z21" s="53"/>
      <c r="AA21" s="53"/>
      <c r="AB21" s="53"/>
      <c r="AC21" s="53"/>
      <c r="AD21" s="53"/>
      <c r="AE21" s="53"/>
      <c r="AF21" s="53"/>
      <c r="AG21" s="53"/>
      <c r="AJ21" t="str">
        <f t="shared" si="0"/>
        <v/>
      </c>
      <c r="AN21" s="2" t="s">
        <v>211</v>
      </c>
      <c r="AO21" s="9">
        <f t="shared" si="31"/>
        <v>0</v>
      </c>
      <c r="AP21" s="16" t="b">
        <f t="shared" si="32"/>
        <v>0</v>
      </c>
      <c r="AQ21" s="16">
        <f t="shared" si="33"/>
        <v>0</v>
      </c>
      <c r="AR21" s="4" t="s">
        <v>347</v>
      </c>
      <c r="AS21" s="24">
        <v>2450</v>
      </c>
      <c r="AT21" s="24">
        <f t="shared" si="4"/>
        <v>2650</v>
      </c>
      <c r="AU21" s="9">
        <f t="shared" si="20"/>
        <v>0</v>
      </c>
      <c r="AV21" s="17"/>
      <c r="AW21" s="142" t="s">
        <v>129</v>
      </c>
      <c r="AX21" s="35">
        <v>50</v>
      </c>
      <c r="AY21" s="35">
        <v>50</v>
      </c>
      <c r="BA21" s="9">
        <f t="shared" si="21"/>
        <v>0</v>
      </c>
      <c r="BB21" s="236" t="s">
        <v>129</v>
      </c>
      <c r="BD21" s="15">
        <f t="shared" ref="BD21:BD28" si="53">IF(K21="",0,1)</f>
        <v>0</v>
      </c>
      <c r="BE21" s="39">
        <f t="shared" ref="BE21:BE26" si="54">DU18</f>
        <v>25</v>
      </c>
      <c r="BF21" s="39">
        <f>+BD21*BE21</f>
        <v>0</v>
      </c>
      <c r="BG21" s="151" t="str">
        <f>IF(BD16=1, "CHROME Elite Casting",  "P7184A Elite Bass Casting")</f>
        <v>P7184A Elite Bass Casting</v>
      </c>
      <c r="BH21" s="156" t="s">
        <v>546</v>
      </c>
      <c r="BR21" s="33">
        <f t="shared" si="5"/>
        <v>0</v>
      </c>
      <c r="BS21" s="33">
        <f t="shared" si="22"/>
        <v>0</v>
      </c>
      <c r="BT21" s="16">
        <f t="shared" si="6"/>
        <v>0</v>
      </c>
      <c r="BU21" s="121">
        <f t="shared" si="23"/>
        <v>0</v>
      </c>
      <c r="BV21" s="121">
        <f t="shared" si="7"/>
        <v>0</v>
      </c>
      <c r="BW21" s="121">
        <f t="shared" si="8"/>
        <v>0</v>
      </c>
      <c r="BX21" s="121">
        <f t="shared" si="9"/>
        <v>0</v>
      </c>
      <c r="BY21">
        <f t="shared" si="27"/>
        <v>0</v>
      </c>
      <c r="BZ21" s="121">
        <f t="shared" si="36"/>
        <v>0</v>
      </c>
      <c r="CA21">
        <f t="shared" si="11"/>
        <v>0</v>
      </c>
      <c r="CB21">
        <f t="shared" si="12"/>
        <v>0</v>
      </c>
      <c r="CC21">
        <f t="shared" si="24"/>
        <v>0</v>
      </c>
      <c r="CE21" s="107">
        <f>+BD25</f>
        <v>0</v>
      </c>
      <c r="CF21" s="109" t="s">
        <v>157</v>
      </c>
      <c r="CH21" s="133">
        <f>+AO36</f>
        <v>0</v>
      </c>
      <c r="CI21" s="134" t="s">
        <v>363</v>
      </c>
      <c r="CK21" s="120">
        <f t="shared" si="49"/>
        <v>0</v>
      </c>
      <c r="CL21" s="324" t="s">
        <v>1132</v>
      </c>
      <c r="CN21" s="123">
        <f>+CN20*CN16</f>
        <v>0</v>
      </c>
      <c r="CO21" s="139" t="s">
        <v>444</v>
      </c>
      <c r="CQ21" s="120">
        <f>+BH47</f>
        <v>0</v>
      </c>
      <c r="CR21" s="138" t="s">
        <v>260</v>
      </c>
      <c r="CS21" s="121"/>
      <c r="CT21" s="120"/>
      <c r="CU21" s="122"/>
      <c r="CW21" s="120"/>
      <c r="CX21" s="122"/>
      <c r="CZ21" s="121"/>
      <c r="DA21">
        <f t="shared" si="34"/>
        <v>0</v>
      </c>
      <c r="DB21" s="221" t="s">
        <v>347</v>
      </c>
      <c r="DC21" s="165" t="s">
        <v>589</v>
      </c>
      <c r="DD21" t="str">
        <f t="shared" si="14"/>
        <v>LLB346</v>
      </c>
      <c r="DE21" t="e">
        <f t="shared" si="37"/>
        <v>#N/A</v>
      </c>
      <c r="DF21" t="e">
        <f t="shared" si="16"/>
        <v>#N/A</v>
      </c>
      <c r="DG21" t="e">
        <f t="shared" si="35"/>
        <v>#N/A</v>
      </c>
      <c r="DH21" t="e">
        <f t="shared" si="17"/>
        <v>#N/A</v>
      </c>
      <c r="DI21" t="str">
        <f t="shared" si="18"/>
        <v xml:space="preserve"> Cstm  </v>
      </c>
      <c r="DJ21" t="e">
        <f t="shared" si="19"/>
        <v>#N/A</v>
      </c>
      <c r="DK21" t="b">
        <f t="shared" si="29"/>
        <v>1</v>
      </c>
      <c r="DL21" t="str">
        <f t="shared" si="30"/>
        <v/>
      </c>
      <c r="DR21" s="212" t="s">
        <v>924</v>
      </c>
      <c r="DT21" t="s">
        <v>156</v>
      </c>
      <c r="DU21" s="39">
        <v>50</v>
      </c>
      <c r="DV21" s="181" t="s">
        <v>956</v>
      </c>
      <c r="EG21" s="89" t="s">
        <v>2</v>
      </c>
      <c r="EH21" s="387" t="str">
        <f>AJ74</f>
        <v/>
      </c>
      <c r="EI21" s="388"/>
      <c r="EJ21" s="388"/>
      <c r="EK21" s="388"/>
      <c r="EM21" t="s">
        <v>398</v>
      </c>
    </row>
    <row r="22" spans="1:143" ht="15" thickBot="1" x14ac:dyDescent="0.35">
      <c r="A22" s="397"/>
      <c r="B22" s="232"/>
      <c r="C22" s="76" t="s">
        <v>57</v>
      </c>
      <c r="D22" s="77"/>
      <c r="E22" s="75"/>
      <c r="F22" s="95"/>
      <c r="G22" s="55" t="s">
        <v>1248</v>
      </c>
      <c r="H22" s="339"/>
      <c r="I22" s="51"/>
      <c r="J22" s="51"/>
      <c r="K22" s="99"/>
      <c r="L22" s="51" t="str">
        <f>IF(BD16=1,"LR2991MT CHROME Elite Single", "LR2991MT Elite Single Tom Holder")</f>
        <v>LR2991MT Elite Single Tom Holder</v>
      </c>
      <c r="M22" s="51"/>
      <c r="N22" s="51"/>
      <c r="O22" s="113" t="s">
        <v>461</v>
      </c>
      <c r="P22" s="53"/>
      <c r="Q22" s="53"/>
      <c r="R22" s="53"/>
      <c r="S22"/>
      <c r="T22" s="53"/>
      <c r="U22" s="53"/>
      <c r="V22" s="53"/>
      <c r="W22" s="53"/>
      <c r="X22" s="53"/>
      <c r="Y22" s="53"/>
      <c r="Z22" s="53"/>
      <c r="AA22" s="53"/>
      <c r="AB22" s="53"/>
      <c r="AC22" s="53"/>
      <c r="AD22" s="53"/>
      <c r="AE22" s="53"/>
      <c r="AF22" s="53"/>
      <c r="AG22" s="53"/>
      <c r="AH22" s="32"/>
      <c r="AI22" s="32"/>
      <c r="AJ22" s="32" t="str">
        <f t="shared" si="0"/>
        <v/>
      </c>
      <c r="AK22" s="32"/>
      <c r="AL22" s="32"/>
      <c r="AN22" s="34" t="s">
        <v>211</v>
      </c>
      <c r="AO22" s="9">
        <f t="shared" si="31"/>
        <v>0</v>
      </c>
      <c r="AP22" s="34" t="b">
        <f t="shared" si="32"/>
        <v>0</v>
      </c>
      <c r="AQ22" s="34">
        <f t="shared" si="33"/>
        <v>0</v>
      </c>
      <c r="AR22" s="173" t="s">
        <v>348</v>
      </c>
      <c r="AS22" s="174">
        <v>2450</v>
      </c>
      <c r="AT22" s="175">
        <f t="shared" si="4"/>
        <v>2650</v>
      </c>
      <c r="AU22" s="9">
        <f t="shared" si="20"/>
        <v>0</v>
      </c>
      <c r="AV22" s="17"/>
      <c r="AW22" s="142" t="s">
        <v>1248</v>
      </c>
      <c r="AX22" s="35">
        <v>0</v>
      </c>
      <c r="AY22" s="35">
        <v>0</v>
      </c>
      <c r="BA22" s="9">
        <f t="shared" si="21"/>
        <v>0</v>
      </c>
      <c r="BB22" s="236" t="s">
        <v>1248</v>
      </c>
      <c r="BD22" s="15">
        <f t="shared" si="53"/>
        <v>0</v>
      </c>
      <c r="BE22" s="39">
        <f t="shared" si="54"/>
        <v>95</v>
      </c>
      <c r="BF22" s="39">
        <f t="shared" ref="BF22:BF27" si="55">+BD22*BE22</f>
        <v>0</v>
      </c>
      <c r="BG22" s="151" t="str">
        <f>IF(BD16=1, "CHROME Elite Single", "LR2991MT Elite Single Tom Holder")</f>
        <v>LR2991MT Elite Single Tom Holder</v>
      </c>
      <c r="BH22" s="156" t="s">
        <v>547</v>
      </c>
      <c r="BL22" s="14" t="s">
        <v>16</v>
      </c>
      <c r="BM22" s="14"/>
      <c r="BP22" s="156" t="s">
        <v>564</v>
      </c>
      <c r="BR22" s="33">
        <f t="shared" si="5"/>
        <v>0</v>
      </c>
      <c r="BS22" s="33">
        <f t="shared" si="22"/>
        <v>0</v>
      </c>
      <c r="BT22" s="34">
        <f t="shared" si="6"/>
        <v>0</v>
      </c>
      <c r="BU22" s="32">
        <f t="shared" si="23"/>
        <v>0</v>
      </c>
      <c r="BV22" s="32">
        <f t="shared" si="7"/>
        <v>0</v>
      </c>
      <c r="BW22" s="32">
        <f t="shared" si="8"/>
        <v>0</v>
      </c>
      <c r="BX22" s="32">
        <f t="shared" si="9"/>
        <v>0</v>
      </c>
      <c r="BY22" s="32">
        <f t="shared" si="27"/>
        <v>0</v>
      </c>
      <c r="BZ22" s="32">
        <f t="shared" si="36"/>
        <v>0</v>
      </c>
      <c r="CA22">
        <f t="shared" si="11"/>
        <v>0</v>
      </c>
      <c r="CB22">
        <f t="shared" si="12"/>
        <v>0</v>
      </c>
      <c r="CC22">
        <f t="shared" si="24"/>
        <v>0</v>
      </c>
      <c r="CE22" s="107">
        <f>+BD26</f>
        <v>0</v>
      </c>
      <c r="CF22" s="109" t="s">
        <v>158</v>
      </c>
      <c r="CH22" s="133">
        <f t="shared" ref="CH22:CH29" si="56">+AO45</f>
        <v>0</v>
      </c>
      <c r="CI22" s="134" t="s">
        <v>372</v>
      </c>
      <c r="CK22" s="120">
        <f t="shared" si="49"/>
        <v>0</v>
      </c>
      <c r="CL22" s="324" t="s">
        <v>1133</v>
      </c>
      <c r="CN22" s="120"/>
      <c r="CO22" s="122"/>
      <c r="CQ22" s="120">
        <f>SUM(CQ20:CQ21)</f>
        <v>0</v>
      </c>
      <c r="CR22" s="138" t="s">
        <v>468</v>
      </c>
      <c r="CS22" s="121"/>
      <c r="CT22" s="120">
        <f>+AU44</f>
        <v>0</v>
      </c>
      <c r="CU22" s="137" t="s">
        <v>105</v>
      </c>
      <c r="CW22" s="120">
        <f>SUM(BH46:BH48)</f>
        <v>0</v>
      </c>
      <c r="CX22" s="122" t="s">
        <v>489</v>
      </c>
      <c r="CZ22" s="155"/>
      <c r="DA22" s="155">
        <f t="shared" si="34"/>
        <v>0</v>
      </c>
      <c r="DB22" s="166" t="s">
        <v>348</v>
      </c>
      <c r="DC22" s="167" t="s">
        <v>590</v>
      </c>
      <c r="DD22" s="155" t="str">
        <f t="shared" si="14"/>
        <v>LLB366</v>
      </c>
      <c r="DE22" s="155" t="e">
        <f t="shared" si="37"/>
        <v>#N/A</v>
      </c>
      <c r="DF22" s="155" t="e">
        <f t="shared" si="16"/>
        <v>#N/A</v>
      </c>
      <c r="DG22" s="155" t="e">
        <f t="shared" si="35"/>
        <v>#N/A</v>
      </c>
      <c r="DH22" s="155" t="e">
        <f t="shared" si="17"/>
        <v>#N/A</v>
      </c>
      <c r="DI22" t="str">
        <f t="shared" si="18"/>
        <v xml:space="preserve"> Cstm  </v>
      </c>
      <c r="DJ22" s="155" t="e">
        <f t="shared" si="19"/>
        <v>#N/A</v>
      </c>
      <c r="DK22" s="155" t="b">
        <f t="shared" si="29"/>
        <v>1</v>
      </c>
      <c r="DL22" s="155" t="str">
        <f t="shared" si="30"/>
        <v/>
      </c>
      <c r="DM22" s="164" t="str">
        <f>CONCATENATE(DL3,DL4,DL5,DL6,DL7,DL8,DL9,DL10,DL11,DL12,DL13,DL14,DL15,DL16,DL17,DL18,DL19,DL20,DL21,DL22)</f>
        <v/>
      </c>
      <c r="DR22" s="212" t="s">
        <v>925</v>
      </c>
      <c r="DT22" t="s">
        <v>157</v>
      </c>
      <c r="DU22" s="39">
        <v>95</v>
      </c>
      <c r="DV22" s="181" t="s">
        <v>957</v>
      </c>
      <c r="EG22" s="89" t="s">
        <v>3</v>
      </c>
      <c r="EH22" s="3" t="e">
        <f>EH7</f>
        <v>#N/A</v>
      </c>
      <c r="EI22" s="3"/>
      <c r="EJ22" s="89" t="s">
        <v>17</v>
      </c>
      <c r="EK22" s="3" t="e">
        <f>VLOOKUP(1,BD38:BF39,3,FALSE)</f>
        <v>#N/A</v>
      </c>
      <c r="EM22" t="s">
        <v>398</v>
      </c>
    </row>
    <row r="23" spans="1:143" ht="15" customHeight="1" x14ac:dyDescent="0.3">
      <c r="A23" s="395" t="str">
        <f>IF(AZ69=1,"L X F T C U S T O M","L C F T C U S T O M")</f>
        <v>L C F T C U S T O M</v>
      </c>
      <c r="B23" s="233"/>
      <c r="C23" s="74" t="s">
        <v>58</v>
      </c>
      <c r="D23" s="75"/>
      <c r="E23" s="75"/>
      <c r="F23" s="95"/>
      <c r="G23" s="55" t="s">
        <v>1249</v>
      </c>
      <c r="H23" s="339"/>
      <c r="I23" s="51"/>
      <c r="J23" s="51"/>
      <c r="K23" s="99"/>
      <c r="L23" s="51" t="str">
        <f>IF(BD16=1, "LR2992MT CHROME Classic Double", "LR2992MT Classic Double Tom Holder")</f>
        <v>LR2992MT Classic Double Tom Holder</v>
      </c>
      <c r="M23" s="51"/>
      <c r="N23" s="51"/>
      <c r="O23" s="51"/>
      <c r="P23" s="59" t="s">
        <v>16</v>
      </c>
      <c r="Q23" s="269"/>
      <c r="R23" s="269"/>
      <c r="S23" s="269"/>
      <c r="T23" s="51"/>
      <c r="U23" s="51"/>
      <c r="V23" s="51"/>
      <c r="W23" s="51"/>
      <c r="X23" s="51"/>
      <c r="Y23" s="51"/>
      <c r="Z23" s="51"/>
      <c r="AA23" s="51"/>
      <c r="AB23" s="51"/>
      <c r="AC23" s="51"/>
      <c r="AD23" s="51"/>
      <c r="AE23" s="51"/>
      <c r="AF23" s="51"/>
      <c r="AG23" s="51"/>
      <c r="AJ23" t="str">
        <f t="shared" si="0"/>
        <v/>
      </c>
      <c r="AN23" s="150" t="s">
        <v>212</v>
      </c>
      <c r="AO23" s="172">
        <f t="shared" si="31"/>
        <v>0</v>
      </c>
      <c r="AP23" s="16" t="b">
        <f t="shared" si="32"/>
        <v>0</v>
      </c>
      <c r="AQ23" s="16">
        <f t="shared" si="33"/>
        <v>0</v>
      </c>
      <c r="AR23" s="4" t="s">
        <v>349</v>
      </c>
      <c r="AS23" s="24">
        <v>1399</v>
      </c>
      <c r="AT23" s="24">
        <f t="shared" si="4"/>
        <v>1599</v>
      </c>
      <c r="AU23" s="9">
        <f t="shared" si="20"/>
        <v>0</v>
      </c>
      <c r="AV23" s="17"/>
      <c r="AW23" s="142" t="s">
        <v>1249</v>
      </c>
      <c r="AX23" s="35">
        <v>0</v>
      </c>
      <c r="AY23" s="35">
        <v>0</v>
      </c>
      <c r="BA23" s="9">
        <f t="shared" si="21"/>
        <v>0</v>
      </c>
      <c r="BB23" s="236" t="s">
        <v>1249</v>
      </c>
      <c r="BD23" s="15">
        <f t="shared" si="53"/>
        <v>0</v>
      </c>
      <c r="BE23" s="39">
        <f t="shared" si="54"/>
        <v>100</v>
      </c>
      <c r="BF23" s="39">
        <f t="shared" si="55"/>
        <v>0</v>
      </c>
      <c r="BG23" s="151" t="str">
        <f>IF(BD16=1, "CHROME Classic Double", "LR2992MT Classic Double Tom Holder")</f>
        <v>LR2992MT Classic Double Tom Holder</v>
      </c>
      <c r="BH23" s="156" t="s">
        <v>548</v>
      </c>
      <c r="BL23" s="9">
        <f t="shared" ref="BL23:BL28" si="57">IF(P24="",0,1)</f>
        <v>0</v>
      </c>
      <c r="BM23" s="43">
        <f>+BL23*0</f>
        <v>0</v>
      </c>
      <c r="BN23" s="3" t="s">
        <v>173</v>
      </c>
      <c r="BP23" s="156" t="s">
        <v>545</v>
      </c>
      <c r="BR23" s="33">
        <f t="shared" si="5"/>
        <v>0</v>
      </c>
      <c r="BS23" s="33">
        <f t="shared" si="22"/>
        <v>0</v>
      </c>
      <c r="BT23" s="2">
        <f t="shared" si="6"/>
        <v>0</v>
      </c>
      <c r="BU23">
        <f t="shared" ref="BU23:BU32" si="58">+$BL$6</f>
        <v>0</v>
      </c>
      <c r="BV23" s="42">
        <f t="shared" ref="BV23:BV32" si="59">+$BM$39</f>
        <v>0</v>
      </c>
      <c r="BW23" s="42">
        <f t="shared" ref="BW23:BW56" si="60">+$BE$40</f>
        <v>0</v>
      </c>
      <c r="BZ23">
        <f t="shared" si="36"/>
        <v>0</v>
      </c>
      <c r="CA23">
        <f t="shared" si="11"/>
        <v>0</v>
      </c>
      <c r="CC23">
        <f t="shared" si="24"/>
        <v>0</v>
      </c>
      <c r="CE23" s="107">
        <f>+BD31</f>
        <v>0</v>
      </c>
      <c r="CF23" s="109" t="s">
        <v>159</v>
      </c>
      <c r="CH23" s="133">
        <f t="shared" si="56"/>
        <v>0</v>
      </c>
      <c r="CI23" s="134" t="s">
        <v>373</v>
      </c>
      <c r="CK23" s="120">
        <f t="shared" si="49"/>
        <v>0</v>
      </c>
      <c r="CL23" s="324" t="s">
        <v>1129</v>
      </c>
      <c r="CN23" s="120" t="s">
        <v>450</v>
      </c>
      <c r="CO23" s="122"/>
      <c r="CQ23" s="120"/>
      <c r="CR23" s="122"/>
      <c r="CS23" s="121"/>
      <c r="CT23" s="120">
        <f>+AU53</f>
        <v>0</v>
      </c>
      <c r="CU23" s="137" t="s">
        <v>507</v>
      </c>
      <c r="CW23" s="120">
        <f>SUM(BN49:BN50)</f>
        <v>0</v>
      </c>
      <c r="CX23" s="122" t="s">
        <v>490</v>
      </c>
      <c r="DA23">
        <f t="shared" si="34"/>
        <v>0</v>
      </c>
      <c r="DB23" s="221" t="s">
        <v>349</v>
      </c>
      <c r="DC23" s="165" t="s">
        <v>591</v>
      </c>
      <c r="DD23" t="str">
        <f t="shared" ref="DD23:DD32" si="61">IF($AZ$69=1,CONCATENATE("LLF4",DC23),CONCATENATE("LLF3",DC23))</f>
        <v>LLF324</v>
      </c>
      <c r="DE23" t="e">
        <f t="shared" si="37"/>
        <v>#N/A</v>
      </c>
      <c r="DF23" s="42" t="e">
        <f>VLOOKUP(1,$BL$35:$BP$38,5,FALSE)</f>
        <v>#N/A</v>
      </c>
      <c r="DG23" t="e">
        <f t="shared" si="35"/>
        <v>#N/A</v>
      </c>
      <c r="DH23" s="42" t="e">
        <f t="shared" ref="DH23:DH32" si="62">IF($BE$6=1,"",VLOOKUP(1,$DG$73:$DH$74,2,FALSE))</f>
        <v>#N/A</v>
      </c>
      <c r="DI23" t="str">
        <f t="shared" si="18"/>
        <v xml:space="preserve"> Cstm  </v>
      </c>
      <c r="DJ23" t="e">
        <f t="shared" si="19"/>
        <v>#N/A</v>
      </c>
      <c r="DK23" t="b">
        <f t="shared" si="29"/>
        <v>1</v>
      </c>
      <c r="DL23" t="str">
        <f t="shared" ref="DL23" si="63">IF(DK23=FALSE,DJ23,"")</f>
        <v/>
      </c>
      <c r="DR23" s="212" t="s">
        <v>926</v>
      </c>
      <c r="DT23" t="s">
        <v>158</v>
      </c>
      <c r="DU23" s="39">
        <v>120</v>
      </c>
      <c r="DV23" s="181" t="s">
        <v>958</v>
      </c>
      <c r="EG23" s="89" t="s">
        <v>6</v>
      </c>
      <c r="EH23" s="3" t="e">
        <f>HLOOKUP(1,BE7:BG8,2,FALSE)</f>
        <v>#N/A</v>
      </c>
      <c r="EI23" s="3"/>
      <c r="EJ23" s="89" t="s">
        <v>23</v>
      </c>
      <c r="EK23" s="3" t="e">
        <f>VLOOKUP(1,BD58:BE60,2,FALSE)</f>
        <v>#N/A</v>
      </c>
      <c r="EM23" t="s">
        <v>398</v>
      </c>
    </row>
    <row r="24" spans="1:143" x14ac:dyDescent="0.3">
      <c r="A24" s="396"/>
      <c r="B24" s="232"/>
      <c r="C24" s="153" t="s">
        <v>59</v>
      </c>
      <c r="D24" s="75"/>
      <c r="E24" s="75"/>
      <c r="F24" s="95"/>
      <c r="G24" s="55" t="s">
        <v>331</v>
      </c>
      <c r="H24" s="339"/>
      <c r="I24" s="51"/>
      <c r="J24" s="51"/>
      <c r="K24" s="99"/>
      <c r="L24" s="51" t="str">
        <f>IF(BD16=1, "P1610D CHROME Ludwig Casting", "P1610D Ludwig Bass Casting")</f>
        <v>P1610D Ludwig Bass Casting</v>
      </c>
      <c r="M24" s="51"/>
      <c r="N24" s="51"/>
      <c r="O24" s="51"/>
      <c r="P24" s="99"/>
      <c r="Q24" s="54" t="s">
        <v>173</v>
      </c>
      <c r="R24" s="51"/>
      <c r="S24" s="51"/>
      <c r="T24" s="51"/>
      <c r="U24" s="51"/>
      <c r="V24" s="51"/>
      <c r="W24" s="51"/>
      <c r="X24" s="51"/>
      <c r="Y24" s="51"/>
      <c r="Z24" s="51"/>
      <c r="AA24" s="51"/>
      <c r="AB24" s="51"/>
      <c r="AC24" s="51"/>
      <c r="AD24" s="51"/>
      <c r="AE24" s="51"/>
      <c r="AF24" s="51"/>
      <c r="AG24" s="51"/>
      <c r="AJ24" t="str">
        <f t="shared" si="0"/>
        <v/>
      </c>
      <c r="AN24" s="150" t="s">
        <v>212</v>
      </c>
      <c r="AO24" s="9">
        <f t="shared" si="31"/>
        <v>0</v>
      </c>
      <c r="AP24" s="16" t="b">
        <f t="shared" si="32"/>
        <v>0</v>
      </c>
      <c r="AQ24" s="16">
        <f t="shared" si="33"/>
        <v>0</v>
      </c>
      <c r="AR24" s="4" t="s">
        <v>350</v>
      </c>
      <c r="AS24" s="24">
        <v>1399</v>
      </c>
      <c r="AT24" s="24">
        <f t="shared" si="4"/>
        <v>1599</v>
      </c>
      <c r="AU24" s="9">
        <f t="shared" si="20"/>
        <v>0</v>
      </c>
      <c r="AV24" s="17"/>
      <c r="AW24" s="142" t="s">
        <v>331</v>
      </c>
      <c r="AX24" s="35">
        <v>0</v>
      </c>
      <c r="AY24" s="35">
        <v>0</v>
      </c>
      <c r="BA24" s="9">
        <f t="shared" si="21"/>
        <v>0</v>
      </c>
      <c r="BB24" s="236" t="s">
        <v>331</v>
      </c>
      <c r="BD24" s="15">
        <f t="shared" si="53"/>
        <v>0</v>
      </c>
      <c r="BE24" s="39">
        <f t="shared" si="54"/>
        <v>50</v>
      </c>
      <c r="BF24" s="39">
        <f t="shared" si="55"/>
        <v>0</v>
      </c>
      <c r="BG24" s="151" t="str">
        <f>IF(BD16=1, "CHROME Ludwig Casting", "P1610D Ludwig Bass Casting")</f>
        <v>P1610D Ludwig Bass Casting</v>
      </c>
      <c r="BH24" s="156" t="s">
        <v>27</v>
      </c>
      <c r="BL24" s="9">
        <f t="shared" si="57"/>
        <v>0</v>
      </c>
      <c r="BM24" s="43">
        <f>+BL24*DU37</f>
        <v>0</v>
      </c>
      <c r="BN24" s="3" t="s">
        <v>174</v>
      </c>
      <c r="BP24" s="156" t="s">
        <v>642</v>
      </c>
      <c r="BR24" s="33">
        <f t="shared" si="5"/>
        <v>0</v>
      </c>
      <c r="BS24" s="33">
        <f t="shared" si="22"/>
        <v>0</v>
      </c>
      <c r="BT24" s="2">
        <f t="shared" si="6"/>
        <v>0</v>
      </c>
      <c r="BU24">
        <f t="shared" si="58"/>
        <v>0</v>
      </c>
      <c r="BV24" s="42">
        <f t="shared" si="59"/>
        <v>0</v>
      </c>
      <c r="BW24" s="42">
        <f t="shared" si="60"/>
        <v>0</v>
      </c>
      <c r="BZ24">
        <f t="shared" si="36"/>
        <v>0</v>
      </c>
      <c r="CA24">
        <f t="shared" si="11"/>
        <v>0</v>
      </c>
      <c r="CC24">
        <f t="shared" si="24"/>
        <v>0</v>
      </c>
      <c r="CE24" s="107">
        <f>SUM(CE21:CE23)</f>
        <v>0</v>
      </c>
      <c r="CF24" s="109" t="s">
        <v>416</v>
      </c>
      <c r="CH24" s="133">
        <f t="shared" si="56"/>
        <v>0</v>
      </c>
      <c r="CI24" s="134" t="s">
        <v>349</v>
      </c>
      <c r="CK24" s="120">
        <f t="shared" si="49"/>
        <v>0</v>
      </c>
      <c r="CL24" s="324" t="s">
        <v>215</v>
      </c>
      <c r="CN24" s="120">
        <f>+BG7</f>
        <v>0</v>
      </c>
      <c r="CO24" s="138" t="s">
        <v>451</v>
      </c>
      <c r="CQ24" s="120">
        <f>+AO58</f>
        <v>0</v>
      </c>
      <c r="CR24" s="138" t="s">
        <v>376</v>
      </c>
      <c r="CS24" s="121"/>
      <c r="CT24" s="120">
        <f>+AU54</f>
        <v>0</v>
      </c>
      <c r="CU24" s="137" t="s">
        <v>1009</v>
      </c>
      <c r="CW24" s="123">
        <f>+CW23*CW22</f>
        <v>0</v>
      </c>
      <c r="CX24" s="124" t="s">
        <v>444</v>
      </c>
      <c r="DA24">
        <f t="shared" si="34"/>
        <v>0</v>
      </c>
      <c r="DB24" s="221" t="s">
        <v>350</v>
      </c>
      <c r="DC24" s="165" t="s">
        <v>592</v>
      </c>
      <c r="DD24" t="str">
        <f t="shared" si="61"/>
        <v>LLF334</v>
      </c>
      <c r="DE24" t="e">
        <f t="shared" si="37"/>
        <v>#N/A</v>
      </c>
      <c r="DF24" s="42" t="e">
        <f t="shared" ref="DF24:DF32" si="64">VLOOKUP(1,$BL$35:$BP$38,5,FALSE)</f>
        <v>#N/A</v>
      </c>
      <c r="DG24" t="e">
        <f t="shared" si="35"/>
        <v>#N/A</v>
      </c>
      <c r="DH24" s="42" t="e">
        <f t="shared" si="62"/>
        <v>#N/A</v>
      </c>
      <c r="DI24" t="str">
        <f t="shared" si="18"/>
        <v xml:space="preserve"> Cstm  </v>
      </c>
      <c r="DJ24" t="e">
        <f t="shared" si="19"/>
        <v>#N/A</v>
      </c>
      <c r="DK24" t="b">
        <f t="shared" si="29"/>
        <v>1</v>
      </c>
      <c r="DL24" t="str">
        <f t="shared" ref="DL24:DM65" si="65">IF(DK24=FALSE,DJ24,"")</f>
        <v/>
      </c>
      <c r="DR24" s="212" t="s">
        <v>927</v>
      </c>
      <c r="DT24" s="51" t="s">
        <v>992</v>
      </c>
      <c r="DU24" s="39">
        <v>150</v>
      </c>
      <c r="DV24" s="181" t="s">
        <v>959</v>
      </c>
      <c r="EG24" s="89" t="s">
        <v>149</v>
      </c>
      <c r="EH24" s="3" t="e">
        <f>+EH11</f>
        <v>#N/A</v>
      </c>
      <c r="EI24" s="3"/>
      <c r="EJ24" s="89" t="s">
        <v>387</v>
      </c>
      <c r="EK24" s="3" t="str">
        <f>VLOOKUP(1,BI60:BJ60,2,FALSE)</f>
        <v>Clear Ambassador</v>
      </c>
      <c r="EM24" t="s">
        <v>398</v>
      </c>
    </row>
    <row r="25" spans="1:143" x14ac:dyDescent="0.3">
      <c r="A25" s="396"/>
      <c r="B25" s="232"/>
      <c r="C25" s="74" t="s">
        <v>60</v>
      </c>
      <c r="D25" s="75"/>
      <c r="E25" s="75"/>
      <c r="F25" s="95"/>
      <c r="G25" s="55" t="s">
        <v>118</v>
      </c>
      <c r="H25" s="339"/>
      <c r="I25" s="51"/>
      <c r="J25" s="51"/>
      <c r="K25" s="99"/>
      <c r="L25" s="51" t="str">
        <f>IF(BD16=1,"LR2981MT CHROME Rocker Single", "LR2981MT Rocker Single Tom Holder")</f>
        <v>LR2981MT Rocker Single Tom Holder</v>
      </c>
      <c r="M25" s="51"/>
      <c r="N25" s="51"/>
      <c r="O25" s="51"/>
      <c r="P25" s="99"/>
      <c r="Q25" s="51" t="s">
        <v>174</v>
      </c>
      <c r="R25" s="51"/>
      <c r="S25" s="51"/>
      <c r="T25" s="51"/>
      <c r="U25" s="51"/>
      <c r="V25" s="51"/>
      <c r="W25" s="51"/>
      <c r="X25" s="51"/>
      <c r="Y25" s="51"/>
      <c r="Z25" s="51"/>
      <c r="AA25" s="51"/>
      <c r="AB25" s="51"/>
      <c r="AC25" s="51"/>
      <c r="AD25" s="51"/>
      <c r="AE25" s="51"/>
      <c r="AF25" s="51"/>
      <c r="AG25" s="51"/>
      <c r="AJ25" t="str">
        <f t="shared" si="0"/>
        <v/>
      </c>
      <c r="AN25" s="150" t="s">
        <v>212</v>
      </c>
      <c r="AO25" s="9">
        <f t="shared" si="31"/>
        <v>0</v>
      </c>
      <c r="AP25" s="16" t="b">
        <f t="shared" si="32"/>
        <v>0</v>
      </c>
      <c r="AQ25" s="16">
        <f t="shared" si="33"/>
        <v>0</v>
      </c>
      <c r="AR25" s="4" t="s">
        <v>351</v>
      </c>
      <c r="AS25" s="24">
        <v>1399</v>
      </c>
      <c r="AT25" s="24">
        <f t="shared" si="4"/>
        <v>1599</v>
      </c>
      <c r="AU25" s="9">
        <f t="shared" si="20"/>
        <v>0</v>
      </c>
      <c r="AV25" s="17"/>
      <c r="AW25" s="142" t="s">
        <v>118</v>
      </c>
      <c r="AX25" s="35">
        <v>0</v>
      </c>
      <c r="AY25" s="35">
        <v>0</v>
      </c>
      <c r="BA25" s="9">
        <f t="shared" si="21"/>
        <v>0</v>
      </c>
      <c r="BB25" s="236" t="s">
        <v>118</v>
      </c>
      <c r="BD25" s="15">
        <f t="shared" si="53"/>
        <v>0</v>
      </c>
      <c r="BE25" s="39">
        <f t="shared" si="54"/>
        <v>95</v>
      </c>
      <c r="BF25" s="39">
        <f t="shared" si="55"/>
        <v>0</v>
      </c>
      <c r="BG25" s="151" t="str">
        <f>IF(BD16=1, "CHROME Rocker Single",  "LR2981MT Rocker Single Tom Holder")</f>
        <v>LR2981MT Rocker Single Tom Holder</v>
      </c>
      <c r="BH25" s="156" t="s">
        <v>28</v>
      </c>
      <c r="BL25" s="9">
        <f t="shared" si="57"/>
        <v>0</v>
      </c>
      <c r="BM25" s="43">
        <f>+BL25*DU38</f>
        <v>0</v>
      </c>
      <c r="BN25" s="3" t="s">
        <v>175</v>
      </c>
      <c r="BP25" s="156" t="s">
        <v>545</v>
      </c>
      <c r="BR25" s="33">
        <f t="shared" si="5"/>
        <v>0</v>
      </c>
      <c r="BS25" s="33">
        <f t="shared" si="22"/>
        <v>0</v>
      </c>
      <c r="BT25" s="2">
        <f t="shared" si="6"/>
        <v>0</v>
      </c>
      <c r="BU25">
        <f t="shared" si="58"/>
        <v>0</v>
      </c>
      <c r="BV25" s="42">
        <f t="shared" si="59"/>
        <v>0</v>
      </c>
      <c r="BW25" s="42">
        <f t="shared" si="60"/>
        <v>0</v>
      </c>
      <c r="BZ25">
        <f t="shared" si="36"/>
        <v>0</v>
      </c>
      <c r="CA25">
        <f t="shared" si="11"/>
        <v>0</v>
      </c>
      <c r="CC25">
        <f t="shared" si="24"/>
        <v>0</v>
      </c>
      <c r="CE25" s="107"/>
      <c r="CF25" s="107"/>
      <c r="CH25" s="133">
        <f t="shared" si="56"/>
        <v>0</v>
      </c>
      <c r="CI25" s="134" t="s">
        <v>350</v>
      </c>
      <c r="CK25" s="120">
        <f t="shared" si="49"/>
        <v>0</v>
      </c>
      <c r="CL25" s="324" t="s">
        <v>216</v>
      </c>
      <c r="CN25" s="120"/>
      <c r="CO25" s="122"/>
      <c r="CQ25" s="120">
        <f>+AO60</f>
        <v>0</v>
      </c>
      <c r="CR25" s="138" t="s">
        <v>378</v>
      </c>
      <c r="CS25" s="121"/>
      <c r="CT25" s="120">
        <f>SUM(CT22:CT24)</f>
        <v>0</v>
      </c>
      <c r="CU25" s="137" t="s">
        <v>478</v>
      </c>
      <c r="CW25" s="120"/>
      <c r="CX25" s="122"/>
      <c r="DA25">
        <f t="shared" si="34"/>
        <v>0</v>
      </c>
      <c r="DB25" s="221" t="s">
        <v>351</v>
      </c>
      <c r="DC25" s="165" t="s">
        <v>585</v>
      </c>
      <c r="DD25" t="str">
        <f t="shared" si="61"/>
        <v>LLF344</v>
      </c>
      <c r="DE25" t="e">
        <f t="shared" si="37"/>
        <v>#N/A</v>
      </c>
      <c r="DF25" s="42" t="e">
        <f t="shared" si="64"/>
        <v>#N/A</v>
      </c>
      <c r="DG25" t="e">
        <f t="shared" si="35"/>
        <v>#N/A</v>
      </c>
      <c r="DH25" s="42" t="e">
        <f t="shared" si="62"/>
        <v>#N/A</v>
      </c>
      <c r="DI25" t="str">
        <f t="shared" si="18"/>
        <v xml:space="preserve"> Cstm  </v>
      </c>
      <c r="DJ25" t="e">
        <f t="shared" si="19"/>
        <v>#N/A</v>
      </c>
      <c r="DK25" t="b">
        <f t="shared" si="29"/>
        <v>1</v>
      </c>
      <c r="DL25" t="str">
        <f t="shared" si="65"/>
        <v/>
      </c>
      <c r="DR25" s="212" t="s">
        <v>928</v>
      </c>
      <c r="DT25" s="51" t="s">
        <v>993</v>
      </c>
      <c r="DU25" s="39">
        <v>153</v>
      </c>
      <c r="DV25" s="181" t="s">
        <v>960</v>
      </c>
      <c r="EG25" s="89" t="s">
        <v>16</v>
      </c>
      <c r="EH25" s="3" t="e">
        <f>VLOOKUP(1,BL23:BN29,3,FALSE)</f>
        <v>#N/A</v>
      </c>
      <c r="EI25" s="3"/>
      <c r="EJ25" s="89" t="s">
        <v>33</v>
      </c>
      <c r="EK25" s="3" t="e">
        <f>IF((BL24+BL26)*AQ69&gt;0, CONCATENATE(EK15," (X2)"), EK15)</f>
        <v>#N/A</v>
      </c>
      <c r="EM25" t="s">
        <v>398</v>
      </c>
    </row>
    <row r="26" spans="1:143" ht="15" thickBot="1" x14ac:dyDescent="0.35">
      <c r="A26" s="396"/>
      <c r="B26" s="232"/>
      <c r="C26" s="74" t="s">
        <v>61</v>
      </c>
      <c r="D26" s="75"/>
      <c r="E26" s="75"/>
      <c r="F26" s="95"/>
      <c r="G26" s="55" t="s">
        <v>123</v>
      </c>
      <c r="H26" s="339"/>
      <c r="I26" s="51"/>
      <c r="J26" s="51"/>
      <c r="K26" s="99"/>
      <c r="L26" s="51" t="str">
        <f>IF(BD16=1, "LR2980MT CHROME Rocker Double",  "LR2980MT Rocker Double Tom Holder")</f>
        <v>LR2980MT Rocker Double Tom Holder</v>
      </c>
      <c r="M26" s="51"/>
      <c r="N26" s="51"/>
      <c r="O26" s="51"/>
      <c r="P26" s="99"/>
      <c r="Q26" s="51" t="s">
        <v>175</v>
      </c>
      <c r="R26" s="51"/>
      <c r="S26" s="51"/>
      <c r="T26" s="51"/>
      <c r="U26" s="51"/>
      <c r="V26" s="51"/>
      <c r="W26" s="51"/>
      <c r="X26" s="51"/>
      <c r="Y26" s="51"/>
      <c r="Z26" s="51"/>
      <c r="AA26" s="51"/>
      <c r="AB26" s="51"/>
      <c r="AC26" s="51"/>
      <c r="AD26" s="51"/>
      <c r="AE26" s="51"/>
      <c r="AF26" s="51"/>
      <c r="AG26" s="51"/>
      <c r="AJ26" t="str">
        <f t="shared" si="0"/>
        <v/>
      </c>
      <c r="AN26" s="150" t="s">
        <v>212</v>
      </c>
      <c r="AO26" s="9">
        <f t="shared" si="31"/>
        <v>0</v>
      </c>
      <c r="AP26" s="16" t="b">
        <f t="shared" si="32"/>
        <v>0</v>
      </c>
      <c r="AQ26" s="16">
        <f t="shared" si="33"/>
        <v>0</v>
      </c>
      <c r="AR26" s="4" t="s">
        <v>352</v>
      </c>
      <c r="AS26" s="24">
        <v>1458</v>
      </c>
      <c r="AT26" s="24">
        <f t="shared" si="4"/>
        <v>1658</v>
      </c>
      <c r="AU26" s="9">
        <f t="shared" si="20"/>
        <v>0</v>
      </c>
      <c r="AV26" s="17"/>
      <c r="AW26" s="142" t="s">
        <v>123</v>
      </c>
      <c r="AX26" s="35">
        <v>0</v>
      </c>
      <c r="AY26" s="35">
        <v>0</v>
      </c>
      <c r="BA26" s="9">
        <f t="shared" si="21"/>
        <v>0</v>
      </c>
      <c r="BB26" s="236" t="s">
        <v>123</v>
      </c>
      <c r="BD26" s="15">
        <f t="shared" si="53"/>
        <v>0</v>
      </c>
      <c r="BE26" s="39">
        <f t="shared" si="54"/>
        <v>120</v>
      </c>
      <c r="BF26" s="39">
        <f t="shared" si="55"/>
        <v>0</v>
      </c>
      <c r="BG26" s="151" t="str">
        <f>IF(BD16=1, "CHROME Rocker Double", "LR2980MT Rocker Double Tom Holder")</f>
        <v>LR2980MT Rocker Double Tom Holder</v>
      </c>
      <c r="BH26" s="156" t="s">
        <v>8</v>
      </c>
      <c r="BL26" s="9">
        <f t="shared" si="57"/>
        <v>0</v>
      </c>
      <c r="BM26" s="43">
        <f>+BL26*DU39</f>
        <v>0</v>
      </c>
      <c r="BN26" s="3" t="s">
        <v>176</v>
      </c>
      <c r="BP26" s="156" t="s">
        <v>643</v>
      </c>
      <c r="BR26" s="33">
        <f t="shared" si="5"/>
        <v>0</v>
      </c>
      <c r="BS26" s="33">
        <f t="shared" si="22"/>
        <v>0</v>
      </c>
      <c r="BT26" s="2">
        <f t="shared" si="6"/>
        <v>0</v>
      </c>
      <c r="BU26">
        <f t="shared" si="58"/>
        <v>0</v>
      </c>
      <c r="BV26" s="42">
        <f t="shared" si="59"/>
        <v>0</v>
      </c>
      <c r="BW26" s="42">
        <f t="shared" si="60"/>
        <v>0</v>
      </c>
      <c r="BZ26">
        <f t="shared" si="36"/>
        <v>0</v>
      </c>
      <c r="CA26">
        <f t="shared" si="11"/>
        <v>0</v>
      </c>
      <c r="CC26">
        <f t="shared" si="24"/>
        <v>0</v>
      </c>
      <c r="CE26" s="108" t="s">
        <v>415</v>
      </c>
      <c r="CF26" s="110"/>
      <c r="CH26" s="133">
        <f t="shared" si="56"/>
        <v>0</v>
      </c>
      <c r="CI26" s="134" t="s">
        <v>351</v>
      </c>
      <c r="CK26" s="120">
        <f t="shared" si="49"/>
        <v>0</v>
      </c>
      <c r="CL26" s="324" t="s">
        <v>135</v>
      </c>
      <c r="CN26" s="120"/>
      <c r="CO26" s="138" t="s">
        <v>360</v>
      </c>
      <c r="CQ26" s="120">
        <f>SUM(CQ24:CQ25)</f>
        <v>0</v>
      </c>
      <c r="CR26" s="138" t="s">
        <v>469</v>
      </c>
      <c r="CS26" s="121"/>
      <c r="CT26" s="120"/>
      <c r="CU26" s="137"/>
      <c r="CW26" s="120">
        <f>+BH49</f>
        <v>0</v>
      </c>
      <c r="CX26" s="122" t="s">
        <v>20</v>
      </c>
      <c r="DA26">
        <f t="shared" si="34"/>
        <v>0</v>
      </c>
      <c r="DB26" s="221" t="s">
        <v>352</v>
      </c>
      <c r="DC26" s="165" t="s">
        <v>593</v>
      </c>
      <c r="DD26" t="str">
        <f t="shared" si="61"/>
        <v>LLF335</v>
      </c>
      <c r="DE26" t="e">
        <f t="shared" si="37"/>
        <v>#N/A</v>
      </c>
      <c r="DF26" s="42" t="e">
        <f t="shared" si="64"/>
        <v>#N/A</v>
      </c>
      <c r="DG26" t="e">
        <f t="shared" si="35"/>
        <v>#N/A</v>
      </c>
      <c r="DH26" s="42" t="e">
        <f t="shared" si="62"/>
        <v>#N/A</v>
      </c>
      <c r="DI26" t="str">
        <f t="shared" si="18"/>
        <v xml:space="preserve"> Cstm  </v>
      </c>
      <c r="DJ26" t="e">
        <f t="shared" si="19"/>
        <v>#N/A</v>
      </c>
      <c r="DK26" t="b">
        <f t="shared" si="29"/>
        <v>1</v>
      </c>
      <c r="DL26" t="str">
        <f t="shared" si="65"/>
        <v/>
      </c>
      <c r="DR26" s="212" t="s">
        <v>929</v>
      </c>
      <c r="DT26" s="51" t="s">
        <v>994</v>
      </c>
      <c r="DU26" s="39">
        <v>123</v>
      </c>
      <c r="DV26" s="181" t="s">
        <v>961</v>
      </c>
      <c r="EH26" s="3"/>
      <c r="EI26" s="3"/>
      <c r="EJ26" s="3"/>
      <c r="EK26" s="3"/>
      <c r="EM26" t="s">
        <v>398</v>
      </c>
    </row>
    <row r="27" spans="1:143" ht="15.6" x14ac:dyDescent="0.3">
      <c r="A27" s="396"/>
      <c r="B27" s="232"/>
      <c r="C27" s="74" t="s">
        <v>62</v>
      </c>
      <c r="D27" s="75"/>
      <c r="E27" s="75"/>
      <c r="F27" s="95"/>
      <c r="G27" s="347" t="s">
        <v>1250</v>
      </c>
      <c r="H27" s="381"/>
      <c r="I27" s="51"/>
      <c r="J27" s="51"/>
      <c r="K27" s="99"/>
      <c r="L27" s="51" t="str">
        <f>IF(BD16=1, "LAC2983MT CHROME Atlas Arch",  "LAC2983MT Atlas Arch Single")</f>
        <v>LAC2983MT Atlas Arch Single</v>
      </c>
      <c r="M27" s="51"/>
      <c r="N27" s="51"/>
      <c r="O27" s="51"/>
      <c r="P27" s="99"/>
      <c r="Q27" s="51" t="s">
        <v>176</v>
      </c>
      <c r="R27" s="51"/>
      <c r="S27" s="51"/>
      <c r="T27" s="51"/>
      <c r="U27" s="51"/>
      <c r="V27" s="51"/>
      <c r="W27" s="51"/>
      <c r="X27" s="51"/>
      <c r="Y27" s="51"/>
      <c r="Z27" s="51"/>
      <c r="AA27" s="51"/>
      <c r="AB27" s="51"/>
      <c r="AC27" s="51"/>
      <c r="AD27" s="51"/>
      <c r="AE27" s="51"/>
      <c r="AF27" s="51"/>
      <c r="AG27" s="51"/>
      <c r="AH27" s="3"/>
      <c r="AI27" s="3"/>
      <c r="AJ27" t="str">
        <f t="shared" ref="AJ27:AJ65" si="66">IF(AQ27&gt;0,CONCATENATE("qty ",AQ27,") ",AR27,"   "),"")</f>
        <v/>
      </c>
      <c r="AN27" s="150" t="s">
        <v>212</v>
      </c>
      <c r="AO27" s="9">
        <f t="shared" si="31"/>
        <v>0</v>
      </c>
      <c r="AP27" s="16" t="b">
        <f t="shared" si="32"/>
        <v>0</v>
      </c>
      <c r="AQ27" s="16">
        <f t="shared" si="33"/>
        <v>0</v>
      </c>
      <c r="AR27" s="4" t="s">
        <v>353</v>
      </c>
      <c r="AS27" s="24">
        <v>1458</v>
      </c>
      <c r="AT27" s="24">
        <f t="shared" si="4"/>
        <v>1658</v>
      </c>
      <c r="AU27" s="9">
        <f t="shared" si="20"/>
        <v>0</v>
      </c>
      <c r="AV27" s="17"/>
      <c r="AW27" s="351" t="s">
        <v>1250</v>
      </c>
      <c r="AX27" s="35">
        <v>0</v>
      </c>
      <c r="AY27" s="35">
        <v>0</v>
      </c>
      <c r="BA27" s="9">
        <f t="shared" si="21"/>
        <v>0</v>
      </c>
      <c r="BB27" s="236"/>
      <c r="BD27" s="15">
        <f t="shared" si="53"/>
        <v>0</v>
      </c>
      <c r="BE27" s="39">
        <v>150</v>
      </c>
      <c r="BF27" s="39">
        <f t="shared" si="55"/>
        <v>0</v>
      </c>
      <c r="BG27" s="151" t="str">
        <f>IF(BD16=1, "CHROME Atlas Arch", "LAC2983MT Atlas Arch Single")</f>
        <v>LAC2983MT Atlas Arch Single</v>
      </c>
      <c r="BH27" s="156" t="s">
        <v>995</v>
      </c>
      <c r="BL27" s="9">
        <f t="shared" si="57"/>
        <v>0</v>
      </c>
      <c r="BM27" s="43">
        <f>+BL27*DU40</f>
        <v>0</v>
      </c>
      <c r="BN27" s="3" t="s">
        <v>177</v>
      </c>
      <c r="BP27" s="156" t="s">
        <v>545</v>
      </c>
      <c r="BR27" s="33">
        <f t="shared" si="5"/>
        <v>0</v>
      </c>
      <c r="BS27" s="33">
        <f t="shared" si="22"/>
        <v>0</v>
      </c>
      <c r="BT27" s="2">
        <f t="shared" si="6"/>
        <v>0</v>
      </c>
      <c r="BU27">
        <f t="shared" si="58"/>
        <v>0</v>
      </c>
      <c r="BV27" s="42">
        <f t="shared" si="59"/>
        <v>0</v>
      </c>
      <c r="BW27" s="42">
        <f t="shared" si="60"/>
        <v>0</v>
      </c>
      <c r="BZ27">
        <f t="shared" si="36"/>
        <v>0</v>
      </c>
      <c r="CA27">
        <f t="shared" si="11"/>
        <v>0</v>
      </c>
      <c r="CC27">
        <f t="shared" si="24"/>
        <v>0</v>
      </c>
      <c r="CE27" s="107">
        <f>+BL28</f>
        <v>0</v>
      </c>
      <c r="CF27" s="109" t="s">
        <v>178</v>
      </c>
      <c r="CH27" s="133">
        <f t="shared" si="56"/>
        <v>0</v>
      </c>
      <c r="CI27" s="134" t="s">
        <v>374</v>
      </c>
      <c r="CK27" s="120">
        <f t="shared" si="49"/>
        <v>0</v>
      </c>
      <c r="CL27" s="324" t="s">
        <v>136</v>
      </c>
      <c r="CN27" s="120">
        <f>+AO34</f>
        <v>0</v>
      </c>
      <c r="CO27" s="138" t="s">
        <v>361</v>
      </c>
      <c r="CQ27" s="120"/>
      <c r="CR27" s="138"/>
      <c r="CS27" s="121"/>
      <c r="CT27" s="123">
        <f>+CT25*CT20</f>
        <v>0</v>
      </c>
      <c r="CU27" s="145" t="s">
        <v>444</v>
      </c>
      <c r="CW27" s="120">
        <f>+BN47+BN48+BN50</f>
        <v>0</v>
      </c>
      <c r="CX27" s="122" t="s">
        <v>491</v>
      </c>
      <c r="DA27">
        <f t="shared" si="34"/>
        <v>0</v>
      </c>
      <c r="DB27" s="221" t="s">
        <v>353</v>
      </c>
      <c r="DC27" s="165" t="s">
        <v>594</v>
      </c>
      <c r="DD27" t="str">
        <f t="shared" si="61"/>
        <v>LLF345</v>
      </c>
      <c r="DE27" t="e">
        <f t="shared" si="37"/>
        <v>#N/A</v>
      </c>
      <c r="DF27" s="42" t="e">
        <f t="shared" si="64"/>
        <v>#N/A</v>
      </c>
      <c r="DG27" t="e">
        <f t="shared" si="35"/>
        <v>#N/A</v>
      </c>
      <c r="DH27" s="42" t="e">
        <f t="shared" si="62"/>
        <v>#N/A</v>
      </c>
      <c r="DI27" t="str">
        <f t="shared" si="18"/>
        <v xml:space="preserve"> Cstm  </v>
      </c>
      <c r="DJ27" t="e">
        <f t="shared" si="19"/>
        <v>#N/A</v>
      </c>
      <c r="DK27" t="b">
        <f t="shared" si="29"/>
        <v>1</v>
      </c>
      <c r="DL27" t="str">
        <f t="shared" si="65"/>
        <v/>
      </c>
      <c r="DR27" s="212" t="s">
        <v>930</v>
      </c>
      <c r="DT27" t="s">
        <v>159</v>
      </c>
      <c r="DU27" s="39">
        <v>110</v>
      </c>
      <c r="DV27" s="181" t="s">
        <v>962</v>
      </c>
      <c r="EG27" s="66" t="str">
        <f>IF(AQ68=1,"Floor Tom",CONCATENATE(AQ68," Floor Toms Chosen"))</f>
        <v>0 Floor Toms Chosen</v>
      </c>
      <c r="EH27" s="187" t="s">
        <v>639</v>
      </c>
      <c r="EI27" s="3"/>
      <c r="EJ27" s="3"/>
      <c r="EK27" s="3"/>
      <c r="EM27" t="s">
        <v>398</v>
      </c>
    </row>
    <row r="28" spans="1:143" ht="15" customHeight="1" x14ac:dyDescent="0.3">
      <c r="A28" s="396"/>
      <c r="B28" s="232"/>
      <c r="C28" s="153" t="s">
        <v>63</v>
      </c>
      <c r="D28" s="75"/>
      <c r="E28" s="75"/>
      <c r="F28" s="98"/>
      <c r="G28" s="347" t="s">
        <v>1250</v>
      </c>
      <c r="H28" s="381"/>
      <c r="I28" s="51"/>
      <c r="J28" s="51"/>
      <c r="K28" s="116"/>
      <c r="L28" s="338" t="str">
        <f>IF(BD16=1,  "PM0062MT CHROME Atlas Bracket", "PM0062MT Atlas Bracket")</f>
        <v>PM0062MT Atlas Bracket</v>
      </c>
      <c r="O28" s="51"/>
      <c r="P28" s="99"/>
      <c r="Q28" s="51" t="s">
        <v>177</v>
      </c>
      <c r="R28" s="51"/>
      <c r="S28" s="51"/>
      <c r="T28" s="51"/>
      <c r="U28" s="51"/>
      <c r="V28" s="51"/>
      <c r="W28" s="51"/>
      <c r="X28" s="51"/>
      <c r="Y28" s="51"/>
      <c r="Z28" s="51"/>
      <c r="AA28" s="51"/>
      <c r="AB28" s="51"/>
      <c r="AC28" s="51"/>
      <c r="AD28" s="51"/>
      <c r="AE28" s="51"/>
      <c r="AF28" s="51"/>
      <c r="AG28" s="51"/>
      <c r="AH28" s="3"/>
      <c r="AI28" s="3"/>
      <c r="AJ28" t="str">
        <f t="shared" si="66"/>
        <v/>
      </c>
      <c r="AN28" s="150" t="s">
        <v>212</v>
      </c>
      <c r="AO28" s="9">
        <f t="shared" si="31"/>
        <v>0</v>
      </c>
      <c r="AP28" s="16" t="b">
        <f t="shared" si="32"/>
        <v>0</v>
      </c>
      <c r="AQ28" s="16">
        <f t="shared" si="33"/>
        <v>0</v>
      </c>
      <c r="AR28" s="4" t="s">
        <v>354</v>
      </c>
      <c r="AS28" s="24">
        <v>1485</v>
      </c>
      <c r="AT28" s="24">
        <f t="shared" si="4"/>
        <v>1685</v>
      </c>
      <c r="AU28" s="9">
        <f t="shared" si="20"/>
        <v>0</v>
      </c>
      <c r="AV28" s="17"/>
      <c r="AW28" s="351" t="s">
        <v>1250</v>
      </c>
      <c r="AX28" s="35">
        <v>0</v>
      </c>
      <c r="AY28" s="35">
        <v>0</v>
      </c>
      <c r="BA28" s="9">
        <f t="shared" si="21"/>
        <v>0</v>
      </c>
      <c r="BB28" s="236"/>
      <c r="BD28" s="15">
        <f t="shared" si="53"/>
        <v>0</v>
      </c>
      <c r="BE28" s="39">
        <v>50</v>
      </c>
      <c r="BF28" s="39">
        <f>+BD28*BE28</f>
        <v>0</v>
      </c>
      <c r="BG28" s="253" t="str">
        <f>IF(BD16=1, "CHROME Atlas Bracket", "PM0062MT Atlas Bracket")</f>
        <v>PM0062MT Atlas Bracket</v>
      </c>
      <c r="BH28" s="156" t="s">
        <v>551</v>
      </c>
      <c r="BL28" s="9">
        <f t="shared" si="57"/>
        <v>0</v>
      </c>
      <c r="BM28" s="43">
        <f>+BL28*DU41</f>
        <v>0</v>
      </c>
      <c r="BN28" s="3" t="s">
        <v>328</v>
      </c>
      <c r="BP28" s="156" t="s">
        <v>644</v>
      </c>
      <c r="BR28" s="33">
        <f t="shared" si="5"/>
        <v>0</v>
      </c>
      <c r="BS28" s="33">
        <f t="shared" si="22"/>
        <v>0</v>
      </c>
      <c r="BT28" s="2">
        <f t="shared" si="6"/>
        <v>0</v>
      </c>
      <c r="BU28">
        <f t="shared" si="58"/>
        <v>0</v>
      </c>
      <c r="BV28" s="42">
        <f t="shared" si="59"/>
        <v>0</v>
      </c>
      <c r="BW28" s="42">
        <f t="shared" si="60"/>
        <v>0</v>
      </c>
      <c r="BZ28">
        <f t="shared" si="36"/>
        <v>0</v>
      </c>
      <c r="CA28">
        <f t="shared" si="11"/>
        <v>0</v>
      </c>
      <c r="CC28">
        <f t="shared" si="24"/>
        <v>0</v>
      </c>
      <c r="CE28" s="107"/>
      <c r="CF28" s="109"/>
      <c r="CH28" s="133">
        <f t="shared" si="56"/>
        <v>0</v>
      </c>
      <c r="CI28" s="134" t="s">
        <v>352</v>
      </c>
      <c r="CK28" s="120">
        <f t="shared" si="49"/>
        <v>0</v>
      </c>
      <c r="CL28" s="324" t="s">
        <v>1008</v>
      </c>
      <c r="CN28" s="120">
        <f>SUM(CN26:CN27)</f>
        <v>0</v>
      </c>
      <c r="CO28" s="138" t="s">
        <v>449</v>
      </c>
      <c r="CQ28" s="123">
        <f>+CQ26*CQ22</f>
        <v>0</v>
      </c>
      <c r="CR28" s="139" t="s">
        <v>444</v>
      </c>
      <c r="CS28" s="121"/>
      <c r="CT28" s="120"/>
      <c r="CU28" s="137"/>
      <c r="CW28" s="123">
        <f>+CW27*CW26</f>
        <v>0</v>
      </c>
      <c r="CX28" s="124" t="s">
        <v>444</v>
      </c>
      <c r="CZ28" s="121"/>
      <c r="DA28">
        <f t="shared" si="34"/>
        <v>0</v>
      </c>
      <c r="DB28" s="221" t="s">
        <v>354</v>
      </c>
      <c r="DC28" s="165" t="s">
        <v>595</v>
      </c>
      <c r="DD28" t="str">
        <f t="shared" si="61"/>
        <v>LLF336</v>
      </c>
      <c r="DE28" t="e">
        <f t="shared" si="37"/>
        <v>#N/A</v>
      </c>
      <c r="DF28" s="42" t="e">
        <f t="shared" si="64"/>
        <v>#N/A</v>
      </c>
      <c r="DG28" t="e">
        <f t="shared" si="35"/>
        <v>#N/A</v>
      </c>
      <c r="DH28" s="42" t="e">
        <f t="shared" si="62"/>
        <v>#N/A</v>
      </c>
      <c r="DI28" t="str">
        <f t="shared" si="18"/>
        <v xml:space="preserve"> Cstm  </v>
      </c>
      <c r="DJ28" t="e">
        <f t="shared" si="19"/>
        <v>#N/A</v>
      </c>
      <c r="DK28" t="b">
        <f t="shared" si="29"/>
        <v>1</v>
      </c>
      <c r="DL28" t="str">
        <f t="shared" si="65"/>
        <v/>
      </c>
      <c r="DR28" s="212" t="s">
        <v>931</v>
      </c>
      <c r="DT28" t="s">
        <v>160</v>
      </c>
      <c r="DU28" s="39">
        <v>110</v>
      </c>
      <c r="DV28" s="181" t="s">
        <v>963</v>
      </c>
      <c r="EG28" s="399" t="str">
        <f>+DM32</f>
        <v/>
      </c>
      <c r="EH28" s="388"/>
      <c r="EI28" s="388"/>
      <c r="EJ28" s="388"/>
      <c r="EK28" s="388"/>
      <c r="EM28" t="s">
        <v>398</v>
      </c>
    </row>
    <row r="29" spans="1:143" ht="15" customHeight="1" x14ac:dyDescent="0.3">
      <c r="A29" s="396"/>
      <c r="B29" s="232"/>
      <c r="C29" s="74" t="s">
        <v>64</v>
      </c>
      <c r="D29" s="75"/>
      <c r="E29" s="75"/>
      <c r="F29" s="98"/>
      <c r="G29" s="347" t="s">
        <v>1250</v>
      </c>
      <c r="H29" s="381"/>
      <c r="I29" s="51"/>
      <c r="J29" s="51"/>
      <c r="K29" s="99"/>
      <c r="L29" s="51" t="str">
        <f>IF(BD16=1, "LAP2984MT CHROME Atlas Double", "LAP2984MT Atlas Double")</f>
        <v>LAP2984MT Atlas Double</v>
      </c>
      <c r="M29" s="51"/>
      <c r="N29" s="51"/>
      <c r="O29" s="51"/>
      <c r="P29" s="99"/>
      <c r="Q29" s="51" t="s">
        <v>328</v>
      </c>
      <c r="R29" s="51"/>
      <c r="S29" s="51"/>
      <c r="T29" s="51"/>
      <c r="U29" s="51"/>
      <c r="V29" s="51"/>
      <c r="W29" s="51"/>
      <c r="X29" s="51"/>
      <c r="Y29" s="51"/>
      <c r="Z29" s="51"/>
      <c r="AA29" s="51"/>
      <c r="AB29" s="51"/>
      <c r="AC29" s="51"/>
      <c r="AD29" s="51"/>
      <c r="AE29" s="51"/>
      <c r="AF29" s="51"/>
      <c r="AG29" s="51"/>
      <c r="AH29" s="3"/>
      <c r="AI29" s="3"/>
      <c r="AJ29" t="str">
        <f t="shared" si="66"/>
        <v/>
      </c>
      <c r="AN29" s="150" t="s">
        <v>212</v>
      </c>
      <c r="AO29" s="9">
        <f t="shared" si="31"/>
        <v>0</v>
      </c>
      <c r="AP29" s="16" t="b">
        <f t="shared" si="32"/>
        <v>0</v>
      </c>
      <c r="AQ29" s="16">
        <f t="shared" si="33"/>
        <v>0</v>
      </c>
      <c r="AR29" s="4" t="s">
        <v>355</v>
      </c>
      <c r="AS29" s="24">
        <v>1485</v>
      </c>
      <c r="AT29" s="24">
        <f t="shared" si="4"/>
        <v>1685</v>
      </c>
      <c r="AU29" s="9">
        <f t="shared" si="20"/>
        <v>0</v>
      </c>
      <c r="AV29" s="17"/>
      <c r="AW29" s="351" t="s">
        <v>1250</v>
      </c>
      <c r="AX29" s="35">
        <v>0</v>
      </c>
      <c r="AY29" s="35">
        <v>0</v>
      </c>
      <c r="BA29" s="9">
        <f t="shared" si="21"/>
        <v>0</v>
      </c>
      <c r="BB29" s="236"/>
      <c r="BD29" s="15">
        <f>IF(K29="",0,1)</f>
        <v>0</v>
      </c>
      <c r="BE29" s="39">
        <v>153</v>
      </c>
      <c r="BF29" s="39">
        <f>+BD29*BE29</f>
        <v>0</v>
      </c>
      <c r="BG29" s="151" t="str">
        <f>IF(BD16=1,"CHROME Atlas Double",  "LAP2984MT Atlas Double")</f>
        <v>LAP2984MT Atlas Double</v>
      </c>
      <c r="BH29" s="156" t="s">
        <v>996</v>
      </c>
      <c r="BM29" s="43"/>
      <c r="BN29" s="3"/>
      <c r="BP29" s="156"/>
      <c r="BR29" s="33">
        <f t="shared" si="5"/>
        <v>0</v>
      </c>
      <c r="BS29" s="33">
        <f t="shared" si="22"/>
        <v>0</v>
      </c>
      <c r="BT29" s="2">
        <f t="shared" si="6"/>
        <v>0</v>
      </c>
      <c r="BU29">
        <f t="shared" si="58"/>
        <v>0</v>
      </c>
      <c r="BV29" s="42">
        <f t="shared" si="59"/>
        <v>0</v>
      </c>
      <c r="BW29" s="42">
        <f t="shared" si="60"/>
        <v>0</v>
      </c>
      <c r="BZ29">
        <f t="shared" si="36"/>
        <v>0</v>
      </c>
      <c r="CA29">
        <f t="shared" si="11"/>
        <v>0</v>
      </c>
      <c r="CC29">
        <f t="shared" si="24"/>
        <v>0</v>
      </c>
      <c r="CE29" s="107">
        <f>IF(CE27*CE24&gt;0,1,0)</f>
        <v>0</v>
      </c>
      <c r="CF29" s="109" t="s">
        <v>439</v>
      </c>
      <c r="CH29" s="133">
        <f t="shared" si="56"/>
        <v>0</v>
      </c>
      <c r="CI29" s="134" t="s">
        <v>353</v>
      </c>
      <c r="CK29" s="120">
        <f t="shared" si="49"/>
        <v>0</v>
      </c>
      <c r="CL29" s="324" t="s">
        <v>1134</v>
      </c>
      <c r="CN29" s="123">
        <f>+CN28*CN24</f>
        <v>0</v>
      </c>
      <c r="CO29" s="139" t="s">
        <v>444</v>
      </c>
      <c r="CQ29" s="120"/>
      <c r="CR29" s="138"/>
      <c r="CS29" s="121"/>
      <c r="CT29" s="120"/>
      <c r="CU29" s="144" t="s">
        <v>480</v>
      </c>
      <c r="CW29" s="120"/>
      <c r="CX29" s="122"/>
      <c r="CZ29" s="121"/>
      <c r="DA29">
        <f t="shared" si="34"/>
        <v>0</v>
      </c>
      <c r="DB29" s="221" t="s">
        <v>355</v>
      </c>
      <c r="DC29" s="165" t="s">
        <v>589</v>
      </c>
      <c r="DD29" t="str">
        <f t="shared" si="61"/>
        <v>LLF346</v>
      </c>
      <c r="DE29" t="e">
        <f t="shared" si="37"/>
        <v>#N/A</v>
      </c>
      <c r="DF29" s="42" t="e">
        <f t="shared" si="64"/>
        <v>#N/A</v>
      </c>
      <c r="DG29" t="e">
        <f t="shared" si="35"/>
        <v>#N/A</v>
      </c>
      <c r="DH29" s="42" t="e">
        <f t="shared" si="62"/>
        <v>#N/A</v>
      </c>
      <c r="DI29" t="str">
        <f t="shared" si="18"/>
        <v xml:space="preserve"> Cstm  </v>
      </c>
      <c r="DJ29" t="e">
        <f t="shared" si="19"/>
        <v>#N/A</v>
      </c>
      <c r="DK29" t="b">
        <f t="shared" si="29"/>
        <v>1</v>
      </c>
      <c r="DL29" t="str">
        <f t="shared" si="65"/>
        <v/>
      </c>
      <c r="DR29" s="212"/>
      <c r="DV29" s="181"/>
      <c r="EG29" s="89" t="s">
        <v>0</v>
      </c>
      <c r="EH29" s="5" t="str">
        <f>IF(AZ69=1,"Legacy Exotic, LXFTCUSTOM","Lecacy Classic, LCFTCUSTOM")</f>
        <v>Lecacy Classic, LCFTCUSTOM</v>
      </c>
      <c r="EI29" s="3"/>
      <c r="EJ29" s="10"/>
      <c r="EK29" s="186"/>
      <c r="EM29" t="s">
        <v>398</v>
      </c>
    </row>
    <row r="30" spans="1:143" x14ac:dyDescent="0.3">
      <c r="A30" s="396"/>
      <c r="B30" s="232"/>
      <c r="C30" s="153" t="s">
        <v>65</v>
      </c>
      <c r="D30" s="75"/>
      <c r="E30" s="75"/>
      <c r="F30" s="98"/>
      <c r="G30" s="347" t="s">
        <v>1250</v>
      </c>
      <c r="H30" s="381"/>
      <c r="I30" s="51"/>
      <c r="J30" s="51"/>
      <c r="K30" s="99"/>
      <c r="L30" s="51" t="str">
        <f>IF(BD16=1, "LAP2985MT CHROME Atlas Single",  "LAP2985MT Atlas Single")</f>
        <v>LAP2985MT Atlas Single</v>
      </c>
      <c r="M30" s="51"/>
      <c r="N30" s="51"/>
      <c r="O30" s="112" t="s">
        <v>422</v>
      </c>
      <c r="P30" s="114"/>
      <c r="Q30" s="114"/>
      <c r="R30" s="53"/>
      <c r="S30" s="53"/>
      <c r="T30" s="53"/>
      <c r="U30" s="53"/>
      <c r="V30" s="53"/>
      <c r="W30" s="53"/>
      <c r="X30" s="53"/>
      <c r="Y30" s="53"/>
      <c r="Z30" s="53"/>
      <c r="AA30" s="53"/>
      <c r="AB30" s="53"/>
      <c r="AC30" s="53"/>
      <c r="AD30" s="53"/>
      <c r="AE30" s="53"/>
      <c r="AF30" s="53"/>
      <c r="AG30" s="53"/>
      <c r="AH30" s="3"/>
      <c r="AI30" s="3"/>
      <c r="AJ30" t="str">
        <f t="shared" si="66"/>
        <v/>
      </c>
      <c r="AN30" s="150" t="s">
        <v>212</v>
      </c>
      <c r="AO30" s="9">
        <f t="shared" si="31"/>
        <v>0</v>
      </c>
      <c r="AP30" s="16" t="b">
        <f t="shared" si="32"/>
        <v>0</v>
      </c>
      <c r="AQ30" s="16">
        <f t="shared" si="33"/>
        <v>0</v>
      </c>
      <c r="AR30" s="4" t="s">
        <v>356</v>
      </c>
      <c r="AS30" s="24">
        <v>1485</v>
      </c>
      <c r="AT30" s="24">
        <f t="shared" si="4"/>
        <v>1685</v>
      </c>
      <c r="AU30" s="9">
        <f t="shared" si="20"/>
        <v>0</v>
      </c>
      <c r="AV30" s="17"/>
      <c r="AW30" s="351" t="s">
        <v>1250</v>
      </c>
      <c r="AX30" s="35">
        <v>0</v>
      </c>
      <c r="AY30" s="35">
        <v>0</v>
      </c>
      <c r="BA30" s="9">
        <f t="shared" si="21"/>
        <v>0</v>
      </c>
      <c r="BB30" s="236"/>
      <c r="BD30" s="15">
        <f>IF(K30="",0,1)</f>
        <v>0</v>
      </c>
      <c r="BE30" s="39">
        <v>123</v>
      </c>
      <c r="BF30" s="39">
        <f>+BD30*BE30</f>
        <v>0</v>
      </c>
      <c r="BG30" s="151" t="str">
        <f>IF(BD16=1, "CHROME Atlas Single", "LAP2985MT Atlas Single")</f>
        <v>LAP2985MT Atlas Single</v>
      </c>
      <c r="BH30" s="156" t="s">
        <v>997</v>
      </c>
      <c r="BR30" s="33">
        <f t="shared" si="5"/>
        <v>0</v>
      </c>
      <c r="BS30" s="33">
        <f t="shared" si="22"/>
        <v>0</v>
      </c>
      <c r="BT30" s="2">
        <f t="shared" si="6"/>
        <v>0</v>
      </c>
      <c r="BU30">
        <f t="shared" si="58"/>
        <v>0</v>
      </c>
      <c r="BV30" s="42">
        <f t="shared" si="59"/>
        <v>0</v>
      </c>
      <c r="BW30" s="42">
        <f t="shared" si="60"/>
        <v>0</v>
      </c>
      <c r="BZ30">
        <f t="shared" si="36"/>
        <v>0</v>
      </c>
      <c r="CA30">
        <f t="shared" si="11"/>
        <v>0</v>
      </c>
      <c r="CC30">
        <f t="shared" si="24"/>
        <v>0</v>
      </c>
      <c r="CF30" s="3"/>
      <c r="CH30" s="133">
        <f>+AO55</f>
        <v>0</v>
      </c>
      <c r="CI30" s="134" t="s">
        <v>355</v>
      </c>
      <c r="CK30" s="120"/>
      <c r="CL30" s="324" t="s">
        <v>134</v>
      </c>
      <c r="CN30" s="120"/>
      <c r="CO30" s="122"/>
      <c r="CQ30" s="120">
        <f>+BH49</f>
        <v>0</v>
      </c>
      <c r="CR30" s="138" t="s">
        <v>265</v>
      </c>
      <c r="CS30" s="121"/>
      <c r="CT30" s="120"/>
      <c r="CU30" s="122"/>
      <c r="CW30" s="120">
        <f>+BH50</f>
        <v>0</v>
      </c>
      <c r="CX30" s="122" t="s">
        <v>21</v>
      </c>
      <c r="CZ30" s="121"/>
      <c r="DA30">
        <f t="shared" si="34"/>
        <v>0</v>
      </c>
      <c r="DB30" s="221" t="s">
        <v>356</v>
      </c>
      <c r="DC30" s="165" t="s">
        <v>596</v>
      </c>
      <c r="DD30" t="str">
        <f t="shared" si="61"/>
        <v>LLF356</v>
      </c>
      <c r="DE30" t="e">
        <f t="shared" si="37"/>
        <v>#N/A</v>
      </c>
      <c r="DF30" s="42" t="e">
        <f t="shared" si="64"/>
        <v>#N/A</v>
      </c>
      <c r="DG30" t="e">
        <f t="shared" si="35"/>
        <v>#N/A</v>
      </c>
      <c r="DH30" s="42" t="e">
        <f t="shared" si="62"/>
        <v>#N/A</v>
      </c>
      <c r="DI30" t="str">
        <f t="shared" si="18"/>
        <v xml:space="preserve"> Cstm  </v>
      </c>
      <c r="DJ30" t="e">
        <f t="shared" si="19"/>
        <v>#N/A</v>
      </c>
      <c r="DK30" t="b">
        <f t="shared" si="29"/>
        <v>1</v>
      </c>
      <c r="DL30" t="str">
        <f t="shared" si="65"/>
        <v/>
      </c>
      <c r="DR30" s="212" t="s">
        <v>932</v>
      </c>
      <c r="DT30" t="s">
        <v>657</v>
      </c>
      <c r="DU30" s="39">
        <v>110</v>
      </c>
      <c r="DV30" s="181" t="s">
        <v>964</v>
      </c>
      <c r="EG30" s="89" t="s">
        <v>1</v>
      </c>
      <c r="EH30" s="3" t="s">
        <v>399</v>
      </c>
      <c r="EI30" s="3"/>
      <c r="EJ30" s="3"/>
      <c r="EK30" s="3"/>
      <c r="EM30" t="s">
        <v>398</v>
      </c>
    </row>
    <row r="31" spans="1:143" ht="16.2" thickBot="1" x14ac:dyDescent="0.35">
      <c r="A31" s="396"/>
      <c r="B31" s="232"/>
      <c r="C31" s="74" t="s">
        <v>66</v>
      </c>
      <c r="D31" s="75"/>
      <c r="E31" s="75"/>
      <c r="F31" s="98"/>
      <c r="G31" s="51" t="s">
        <v>105</v>
      </c>
      <c r="H31" s="381"/>
      <c r="I31" s="51"/>
      <c r="J31" s="51"/>
      <c r="K31" s="99"/>
      <c r="L31" s="51" t="str">
        <f>IF(BD16=1,"LR2893MT CHROME Rail 9.5mm","LR2983MT Rail Consolette 9.5mm")</f>
        <v>LR2983MT Rail Consolette 9.5mm</v>
      </c>
      <c r="M31" s="51"/>
      <c r="N31" s="51"/>
      <c r="O31" s="53"/>
      <c r="P31" s="53"/>
      <c r="Q31" s="114" t="s">
        <v>582</v>
      </c>
      <c r="R31" s="293"/>
      <c r="S31" s="53"/>
      <c r="T31" s="53"/>
      <c r="U31" s="53"/>
      <c r="V31" s="53"/>
      <c r="W31" s="53"/>
      <c r="X31" s="53"/>
      <c r="Y31" s="53"/>
      <c r="Z31" s="53"/>
      <c r="AA31" s="53"/>
      <c r="AB31" s="53"/>
      <c r="AC31" s="53"/>
      <c r="AD31" s="53"/>
      <c r="AE31" s="53"/>
      <c r="AF31" s="53"/>
      <c r="AG31" s="53"/>
      <c r="AH31" s="3"/>
      <c r="AI31" s="3"/>
      <c r="AJ31" t="str">
        <f t="shared" si="66"/>
        <v/>
      </c>
      <c r="AN31" s="150" t="s">
        <v>212</v>
      </c>
      <c r="AO31" s="9">
        <f t="shared" si="31"/>
        <v>0</v>
      </c>
      <c r="AP31" s="16" t="b">
        <f t="shared" si="32"/>
        <v>0</v>
      </c>
      <c r="AQ31" s="16">
        <f t="shared" si="33"/>
        <v>0</v>
      </c>
      <c r="AR31" s="4" t="s">
        <v>357</v>
      </c>
      <c r="AS31" s="24">
        <v>1485</v>
      </c>
      <c r="AT31" s="24">
        <f t="shared" si="4"/>
        <v>1685</v>
      </c>
      <c r="AU31" s="9">
        <f t="shared" si="20"/>
        <v>0</v>
      </c>
      <c r="AV31" s="17"/>
      <c r="AW31" s="151" t="s">
        <v>105</v>
      </c>
      <c r="AX31" s="35">
        <v>0</v>
      </c>
      <c r="AY31" s="35">
        <v>0</v>
      </c>
      <c r="BA31" s="9">
        <f t="shared" si="21"/>
        <v>0</v>
      </c>
      <c r="BB31" s="236"/>
      <c r="BD31" s="15">
        <f>IF(K31="",0,1)</f>
        <v>0</v>
      </c>
      <c r="BE31" s="39">
        <f>DU27</f>
        <v>110</v>
      </c>
      <c r="BF31" s="39">
        <f>+BD31*BE31</f>
        <v>0</v>
      </c>
      <c r="BG31" s="151" t="str">
        <f>IF(BD16 = 1, "CHROME Rail 9.5mm",  "LR2983MT Rail Consolette 9.5mm")</f>
        <v>LR2983MT Rail Consolette 9.5mm</v>
      </c>
      <c r="BH31" s="156" t="s">
        <v>549</v>
      </c>
      <c r="BK31" s="3" t="s">
        <v>204</v>
      </c>
      <c r="BL31" s="27">
        <f>SUM(BL23:BL29)</f>
        <v>0</v>
      </c>
      <c r="BM31" s="47">
        <f>SUM(BM23:BM29)</f>
        <v>0</v>
      </c>
      <c r="BN31" s="24" t="s">
        <v>227</v>
      </c>
      <c r="BR31" s="33">
        <f t="shared" si="5"/>
        <v>0</v>
      </c>
      <c r="BS31" s="33">
        <f t="shared" si="22"/>
        <v>0</v>
      </c>
      <c r="BT31" s="16">
        <f t="shared" si="6"/>
        <v>0</v>
      </c>
      <c r="BU31">
        <f t="shared" si="58"/>
        <v>0</v>
      </c>
      <c r="BV31" s="42">
        <f t="shared" si="59"/>
        <v>0</v>
      </c>
      <c r="BW31" s="42">
        <f t="shared" si="60"/>
        <v>0</v>
      </c>
      <c r="BX31" s="121"/>
      <c r="BY31" s="121"/>
      <c r="BZ31" s="121">
        <f t="shared" si="36"/>
        <v>0</v>
      </c>
      <c r="CA31">
        <f t="shared" si="11"/>
        <v>0</v>
      </c>
      <c r="CC31">
        <f t="shared" si="24"/>
        <v>0</v>
      </c>
      <c r="CE31" s="108" t="s">
        <v>1005</v>
      </c>
      <c r="CF31" s="108"/>
      <c r="CH31" s="133">
        <f>+AO56</f>
        <v>0</v>
      </c>
      <c r="CI31" s="134" t="s">
        <v>357</v>
      </c>
      <c r="CK31" s="120">
        <f t="shared" si="49"/>
        <v>0</v>
      </c>
      <c r="CL31" s="324" t="s">
        <v>137</v>
      </c>
      <c r="CN31" s="120"/>
      <c r="CO31" s="122"/>
      <c r="CQ31" s="120"/>
      <c r="CR31" s="122"/>
      <c r="CS31" s="121"/>
      <c r="CT31" s="120"/>
      <c r="CU31" s="137" t="s">
        <v>109</v>
      </c>
      <c r="CW31" s="120">
        <f>SUM(BN47:BN49)</f>
        <v>0</v>
      </c>
      <c r="CX31" s="122" t="s">
        <v>492</v>
      </c>
      <c r="CZ31" s="121"/>
      <c r="DA31">
        <f t="shared" si="34"/>
        <v>0</v>
      </c>
      <c r="DB31" s="221" t="s">
        <v>357</v>
      </c>
      <c r="DC31" s="165" t="s">
        <v>590</v>
      </c>
      <c r="DD31" t="str">
        <f t="shared" si="61"/>
        <v>LLF366</v>
      </c>
      <c r="DE31" t="e">
        <f t="shared" si="37"/>
        <v>#N/A</v>
      </c>
      <c r="DF31" s="42" t="e">
        <f t="shared" si="64"/>
        <v>#N/A</v>
      </c>
      <c r="DG31" t="e">
        <f t="shared" si="35"/>
        <v>#N/A</v>
      </c>
      <c r="DH31" s="42" t="e">
        <f t="shared" si="62"/>
        <v>#N/A</v>
      </c>
      <c r="DI31" t="str">
        <f t="shared" si="18"/>
        <v xml:space="preserve"> Cstm  </v>
      </c>
      <c r="DJ31" t="e">
        <f t="shared" si="19"/>
        <v>#N/A</v>
      </c>
      <c r="DK31" t="b">
        <f t="shared" si="29"/>
        <v>1</v>
      </c>
      <c r="DL31" t="str">
        <f t="shared" si="65"/>
        <v/>
      </c>
      <c r="DR31" s="212"/>
      <c r="DV31" s="181"/>
      <c r="EG31" s="89" t="s">
        <v>2</v>
      </c>
      <c r="EH31" s="387" t="str">
        <f>AJ73</f>
        <v/>
      </c>
      <c r="EI31" s="388"/>
      <c r="EJ31" s="388"/>
      <c r="EK31" s="388"/>
      <c r="EM31" t="s">
        <v>398</v>
      </c>
    </row>
    <row r="32" spans="1:143" ht="15" thickBot="1" x14ac:dyDescent="0.35">
      <c r="A32" s="397"/>
      <c r="B32" s="232"/>
      <c r="C32" s="76" t="s">
        <v>67</v>
      </c>
      <c r="D32" s="77"/>
      <c r="E32" s="75"/>
      <c r="F32" s="98"/>
      <c r="G32" s="51" t="s">
        <v>502</v>
      </c>
      <c r="H32" s="381"/>
      <c r="I32" s="51"/>
      <c r="J32" s="51"/>
      <c r="K32" s="99"/>
      <c r="L32" s="51" t="str">
        <f>IF(BD16=1, "LR2993MT CHROME Rail 10.5mm", "LR2993MT Rail Consolette 10.5mm")</f>
        <v>LR2993MT Rail Consolette 10.5mm</v>
      </c>
      <c r="M32" s="51"/>
      <c r="N32" s="51"/>
      <c r="O32" s="51"/>
      <c r="P32" s="59" t="s">
        <v>182</v>
      </c>
      <c r="Q32" s="269"/>
      <c r="R32" s="269"/>
      <c r="S32" s="269"/>
      <c r="T32" s="53"/>
      <c r="U32" s="53"/>
      <c r="V32" s="53"/>
      <c r="W32" s="53"/>
      <c r="X32" s="53"/>
      <c r="Y32" s="53"/>
      <c r="Z32" s="53"/>
      <c r="AA32" s="53"/>
      <c r="AB32" s="53"/>
      <c r="AC32" s="53"/>
      <c r="AD32" s="53"/>
      <c r="AE32" s="53"/>
      <c r="AF32" s="53"/>
      <c r="AG32" s="53"/>
      <c r="AH32" s="171"/>
      <c r="AI32" s="171"/>
      <c r="AJ32" s="32" t="str">
        <f t="shared" si="66"/>
        <v/>
      </c>
      <c r="AK32" s="32"/>
      <c r="AL32" s="32"/>
      <c r="AN32" s="176" t="s">
        <v>212</v>
      </c>
      <c r="AO32" s="9">
        <f t="shared" si="31"/>
        <v>0</v>
      </c>
      <c r="AP32" s="34" t="b">
        <f t="shared" si="32"/>
        <v>0</v>
      </c>
      <c r="AQ32" s="34">
        <f t="shared" si="33"/>
        <v>0</v>
      </c>
      <c r="AR32" s="173" t="s">
        <v>335</v>
      </c>
      <c r="AS32" s="174">
        <v>1615</v>
      </c>
      <c r="AT32" s="175">
        <f t="shared" si="4"/>
        <v>1815</v>
      </c>
      <c r="AU32" s="9">
        <f t="shared" si="20"/>
        <v>0</v>
      </c>
      <c r="AV32" s="17"/>
      <c r="AW32" s="151" t="s">
        <v>502</v>
      </c>
      <c r="AX32" s="35">
        <v>0</v>
      </c>
      <c r="AY32" s="35">
        <v>0</v>
      </c>
      <c r="BA32" s="9">
        <f t="shared" si="21"/>
        <v>0</v>
      </c>
      <c r="BB32" s="236"/>
      <c r="BD32" s="15">
        <f>IF(K32="",0,1)</f>
        <v>0</v>
      </c>
      <c r="BE32" s="39">
        <f>DU28</f>
        <v>110</v>
      </c>
      <c r="BF32" s="39">
        <f>+BD32*BE32</f>
        <v>0</v>
      </c>
      <c r="BG32" s="151" t="str">
        <f>IF(BD16=1, "CHROME Rail 10.5mm",  "LR2993MT Rail Consolette 10.5mm")</f>
        <v>LR2993MT Rail Consolette 10.5mm</v>
      </c>
      <c r="BH32" s="156" t="s">
        <v>549</v>
      </c>
      <c r="BR32" s="33">
        <f t="shared" si="5"/>
        <v>0</v>
      </c>
      <c r="BS32" s="33">
        <f t="shared" si="22"/>
        <v>0</v>
      </c>
      <c r="BT32" s="34">
        <f t="shared" si="6"/>
        <v>0</v>
      </c>
      <c r="BU32" s="32">
        <f t="shared" si="58"/>
        <v>0</v>
      </c>
      <c r="BV32" s="46">
        <f t="shared" si="59"/>
        <v>0</v>
      </c>
      <c r="BW32" s="46">
        <f t="shared" si="60"/>
        <v>0</v>
      </c>
      <c r="BX32" s="32"/>
      <c r="BY32" s="32"/>
      <c r="BZ32" s="32">
        <f t="shared" si="36"/>
        <v>0</v>
      </c>
      <c r="CA32">
        <f t="shared" si="11"/>
        <v>0</v>
      </c>
      <c r="CC32">
        <f t="shared" si="24"/>
        <v>0</v>
      </c>
      <c r="CE32" s="107">
        <f>+BD27</f>
        <v>0</v>
      </c>
      <c r="CF32" s="107" t="s">
        <v>992</v>
      </c>
      <c r="CH32" s="133">
        <f>+AO57</f>
        <v>0</v>
      </c>
      <c r="CI32" s="134" t="s">
        <v>375</v>
      </c>
      <c r="CK32" s="120">
        <f t="shared" si="49"/>
        <v>0</v>
      </c>
      <c r="CL32" s="324" t="s">
        <v>138</v>
      </c>
      <c r="CN32" s="120" t="s">
        <v>453</v>
      </c>
      <c r="CO32" s="122"/>
      <c r="CQ32" s="120">
        <f>+AO57</f>
        <v>0</v>
      </c>
      <c r="CR32" s="138" t="s">
        <v>375</v>
      </c>
      <c r="CS32" s="121"/>
      <c r="CT32" s="120"/>
      <c r="CU32" s="137" t="s">
        <v>110</v>
      </c>
      <c r="CW32" s="123">
        <f>+CW31*CW30</f>
        <v>0</v>
      </c>
      <c r="CX32" s="124" t="s">
        <v>444</v>
      </c>
      <c r="CZ32" s="155"/>
      <c r="DA32" s="155">
        <f t="shared" si="34"/>
        <v>0</v>
      </c>
      <c r="DB32" s="166" t="s">
        <v>335</v>
      </c>
      <c r="DC32" s="167" t="s">
        <v>597</v>
      </c>
      <c r="DD32" s="155" t="str">
        <f t="shared" si="61"/>
        <v>LLF368</v>
      </c>
      <c r="DE32" s="155" t="e">
        <f t="shared" si="37"/>
        <v>#N/A</v>
      </c>
      <c r="DF32" s="168" t="e">
        <f t="shared" si="64"/>
        <v>#N/A</v>
      </c>
      <c r="DG32" s="155" t="e">
        <f t="shared" si="35"/>
        <v>#N/A</v>
      </c>
      <c r="DH32" s="168" t="e">
        <f t="shared" si="62"/>
        <v>#N/A</v>
      </c>
      <c r="DI32" t="str">
        <f t="shared" si="18"/>
        <v xml:space="preserve"> Cstm  </v>
      </c>
      <c r="DJ32" s="155" t="e">
        <f t="shared" si="19"/>
        <v>#N/A</v>
      </c>
      <c r="DK32" s="155" t="b">
        <f t="shared" si="29"/>
        <v>1</v>
      </c>
      <c r="DL32" s="155" t="str">
        <f t="shared" si="65"/>
        <v/>
      </c>
      <c r="DM32" s="164" t="str">
        <f>CONCATENATE(DL23,DL24,DL25,DL26,DL27,DL28,DL29,DL30,DL31,DL32)</f>
        <v/>
      </c>
      <c r="DR32" s="212"/>
      <c r="DT32" s="192" t="s">
        <v>182</v>
      </c>
      <c r="DU32" s="39"/>
      <c r="DV32" s="181"/>
      <c r="EG32" s="89" t="s">
        <v>3</v>
      </c>
      <c r="EH32" s="3" t="e">
        <f>+EH7</f>
        <v>#N/A</v>
      </c>
      <c r="EI32" s="3"/>
      <c r="EJ32" s="89" t="s">
        <v>17</v>
      </c>
      <c r="EK32" s="3" t="e">
        <f>+EK22</f>
        <v>#N/A</v>
      </c>
      <c r="EM32" t="s">
        <v>398</v>
      </c>
    </row>
    <row r="33" spans="1:143" ht="15" customHeight="1" x14ac:dyDescent="0.3">
      <c r="A33" s="395" t="str">
        <f>IF(AZ69=1,"L X T T C U S T O M","L C T T C U S T O M")</f>
        <v>L C T T C U S T O M</v>
      </c>
      <c r="B33" s="234"/>
      <c r="C33" s="230" t="s">
        <v>494</v>
      </c>
      <c r="D33" s="73"/>
      <c r="E33" s="75"/>
      <c r="F33" s="98"/>
      <c r="G33" s="51" t="s">
        <v>1009</v>
      </c>
      <c r="H33" s="381"/>
      <c r="I33" s="51"/>
      <c r="J33" s="51"/>
      <c r="K33" s="51"/>
      <c r="L33" s="51"/>
      <c r="M33" s="51"/>
      <c r="N33" s="51"/>
      <c r="O33" s="53"/>
      <c r="P33" s="99"/>
      <c r="Q33" s="54" t="s">
        <v>183</v>
      </c>
      <c r="R33" s="53"/>
      <c r="S33" s="53"/>
      <c r="T33" s="53"/>
      <c r="U33" s="53"/>
      <c r="V33" s="53"/>
      <c r="W33" s="53"/>
      <c r="X33" s="53"/>
      <c r="Y33" s="53"/>
      <c r="Z33" s="53"/>
      <c r="AA33" s="53"/>
      <c r="AB33" s="53"/>
      <c r="AC33" s="53"/>
      <c r="AD33" s="53"/>
      <c r="AE33" s="53"/>
      <c r="AF33" s="53"/>
      <c r="AG33" s="53"/>
      <c r="AH33" s="3"/>
      <c r="AI33" s="3"/>
      <c r="AJ33" t="str">
        <f t="shared" si="66"/>
        <v/>
      </c>
      <c r="AN33" s="2" t="s">
        <v>213</v>
      </c>
      <c r="AO33" s="172">
        <f t="shared" si="31"/>
        <v>0</v>
      </c>
      <c r="AP33" s="16" t="b">
        <f t="shared" si="32"/>
        <v>0</v>
      </c>
      <c r="AQ33" s="16">
        <f t="shared" si="33"/>
        <v>0</v>
      </c>
      <c r="AR33" s="4"/>
      <c r="AS33" s="24"/>
      <c r="AT33" s="24"/>
      <c r="AU33" s="9">
        <f t="shared" si="20"/>
        <v>0</v>
      </c>
      <c r="AV33" s="17"/>
      <c r="AW33" s="151" t="s">
        <v>1009</v>
      </c>
      <c r="AX33" s="35">
        <v>0</v>
      </c>
      <c r="AY33" s="35">
        <v>0</v>
      </c>
      <c r="BA33" s="9">
        <f t="shared" si="21"/>
        <v>0</v>
      </c>
      <c r="BB33" s="236"/>
      <c r="BD33" s="16">
        <f>SUM(BD20:BD32)</f>
        <v>0</v>
      </c>
      <c r="BE33" s="3" t="s">
        <v>204</v>
      </c>
      <c r="BF33" s="40">
        <f>SUM(BF20:BF32)</f>
        <v>0</v>
      </c>
      <c r="BG33" s="38"/>
      <c r="BR33" s="33">
        <f t="shared" si="5"/>
        <v>0</v>
      </c>
      <c r="BS33" s="33">
        <f t="shared" si="22"/>
        <v>0</v>
      </c>
      <c r="BT33" s="2">
        <f t="shared" si="6"/>
        <v>0</v>
      </c>
      <c r="BU33">
        <f t="shared" ref="BU33:BU56" si="67">+$BL$7</f>
        <v>0</v>
      </c>
      <c r="BV33" s="42">
        <f t="shared" ref="BV33:BV56" si="68">+$BM$31</f>
        <v>0</v>
      </c>
      <c r="BW33" s="42">
        <f t="shared" si="60"/>
        <v>0</v>
      </c>
      <c r="BZ33">
        <f>IF($BD$16=1,$DU$10,0)</f>
        <v>0</v>
      </c>
      <c r="CA33">
        <f t="shared" ref="CA33:CA56" si="69">IF($BL$24+$BL$26&gt;0,$AY$86*2,$AY$86)</f>
        <v>0</v>
      </c>
      <c r="CC33">
        <f t="shared" si="24"/>
        <v>0</v>
      </c>
      <c r="CE33" s="107">
        <f>+BD29</f>
        <v>0</v>
      </c>
      <c r="CF33" s="107" t="s">
        <v>993</v>
      </c>
      <c r="CH33" s="133"/>
      <c r="CI33" s="134" t="s">
        <v>376</v>
      </c>
      <c r="CK33" s="120">
        <f t="shared" si="49"/>
        <v>0</v>
      </c>
      <c r="CL33" s="324" t="s">
        <v>1230</v>
      </c>
      <c r="CN33" s="120">
        <f>+BH4</f>
        <v>0</v>
      </c>
      <c r="CO33" s="138" t="s">
        <v>455</v>
      </c>
      <c r="CQ33" s="120">
        <f>+AO58</f>
        <v>0</v>
      </c>
      <c r="CR33" s="138" t="s">
        <v>376</v>
      </c>
      <c r="CS33" s="121"/>
      <c r="CT33" s="120"/>
      <c r="CU33" s="137" t="s">
        <v>111</v>
      </c>
      <c r="CW33" s="120"/>
      <c r="CX33" s="122"/>
      <c r="CZ33" s="121"/>
      <c r="DB33" s="221"/>
      <c r="DC33" s="165"/>
      <c r="DF33" t="s">
        <v>617</v>
      </c>
      <c r="DG33" t="s">
        <v>3</v>
      </c>
      <c r="DH33" t="s">
        <v>32</v>
      </c>
      <c r="DI33" s="42" t="s">
        <v>618</v>
      </c>
      <c r="DJ33" s="42" t="s">
        <v>567</v>
      </c>
      <c r="DK33" s="42" t="s">
        <v>568</v>
      </c>
      <c r="DL33" s="42" t="s">
        <v>615</v>
      </c>
      <c r="DM33" s="42" t="s">
        <v>570</v>
      </c>
      <c r="DR33" s="212" t="s">
        <v>933</v>
      </c>
      <c r="DT33" t="s">
        <v>185</v>
      </c>
      <c r="DU33" s="39">
        <v>0</v>
      </c>
      <c r="DV33" s="181" t="s">
        <v>965</v>
      </c>
      <c r="EG33" s="89" t="s">
        <v>6</v>
      </c>
      <c r="EH33" s="3" t="e">
        <f>HLOOKUP(1,BE6:BG8,3,FALSE)</f>
        <v>#N/A</v>
      </c>
      <c r="EI33" s="3"/>
      <c r="EJ33" s="89" t="s">
        <v>23</v>
      </c>
      <c r="EK33" s="3" t="e">
        <f>+EK23</f>
        <v>#N/A</v>
      </c>
      <c r="EM33" t="s">
        <v>398</v>
      </c>
    </row>
    <row r="34" spans="1:143" x14ac:dyDescent="0.3">
      <c r="A34" s="396"/>
      <c r="B34" s="234"/>
      <c r="C34" s="74" t="s">
        <v>71</v>
      </c>
      <c r="D34" s="75"/>
      <c r="E34" s="75"/>
      <c r="F34" s="98"/>
      <c r="G34" s="51" t="s">
        <v>990</v>
      </c>
      <c r="H34" s="381"/>
      <c r="I34" s="51"/>
      <c r="J34" s="51"/>
      <c r="K34" s="99"/>
      <c r="L34" s="51" t="s">
        <v>161</v>
      </c>
      <c r="M34" s="51"/>
      <c r="N34" s="51"/>
      <c r="O34" s="53"/>
      <c r="P34" s="99"/>
      <c r="Q34" s="51" t="s">
        <v>184</v>
      </c>
      <c r="R34" s="53"/>
      <c r="S34" s="53"/>
      <c r="T34" s="53"/>
      <c r="U34" s="53"/>
      <c r="V34" s="53"/>
      <c r="W34" s="53"/>
      <c r="X34" s="53"/>
      <c r="Y34" s="53"/>
      <c r="Z34" s="53"/>
      <c r="AA34" s="53"/>
      <c r="AB34" s="53"/>
      <c r="AC34" s="53"/>
      <c r="AD34" s="53"/>
      <c r="AE34" s="53"/>
      <c r="AF34" s="53"/>
      <c r="AG34" s="53"/>
      <c r="AJ34" t="str">
        <f t="shared" si="66"/>
        <v/>
      </c>
      <c r="AN34" s="2" t="s">
        <v>213</v>
      </c>
      <c r="AO34" s="9">
        <f t="shared" si="31"/>
        <v>0</v>
      </c>
      <c r="AP34" s="16" t="b">
        <f t="shared" si="32"/>
        <v>0</v>
      </c>
      <c r="AQ34" s="16">
        <f t="shared" si="33"/>
        <v>0</v>
      </c>
      <c r="AR34" s="4" t="s">
        <v>361</v>
      </c>
      <c r="AS34" s="24">
        <v>1295</v>
      </c>
      <c r="AT34" s="24">
        <f>+AS34+200</f>
        <v>1495</v>
      </c>
      <c r="AU34" s="9">
        <f t="shared" si="20"/>
        <v>0</v>
      </c>
      <c r="AV34" s="17"/>
      <c r="AW34" s="151" t="s">
        <v>990</v>
      </c>
      <c r="AX34" s="35">
        <v>0</v>
      </c>
      <c r="AY34" s="35">
        <v>0</v>
      </c>
      <c r="BA34" s="9">
        <f t="shared" si="21"/>
        <v>0</v>
      </c>
      <c r="BB34" s="236"/>
      <c r="BD34" s="15">
        <f>IF(K34="",0,1)</f>
        <v>0</v>
      </c>
      <c r="BG34" s="151" t="s">
        <v>161</v>
      </c>
      <c r="BL34" s="14" t="s">
        <v>182</v>
      </c>
      <c r="BM34" s="14"/>
      <c r="BN34" s="14"/>
      <c r="BP34" s="156" t="s">
        <v>564</v>
      </c>
      <c r="BR34" s="33">
        <f t="shared" si="5"/>
        <v>0</v>
      </c>
      <c r="BS34" s="33">
        <f t="shared" si="22"/>
        <v>0</v>
      </c>
      <c r="BT34" s="2">
        <f t="shared" si="6"/>
        <v>0</v>
      </c>
      <c r="BU34">
        <f t="shared" si="67"/>
        <v>0</v>
      </c>
      <c r="BV34" s="42">
        <f t="shared" si="68"/>
        <v>0</v>
      </c>
      <c r="BW34" s="42">
        <f t="shared" si="60"/>
        <v>0</v>
      </c>
      <c r="BZ34">
        <f>IF($BD$16=1,$DU$10,0)</f>
        <v>0</v>
      </c>
      <c r="CA34">
        <f t="shared" si="69"/>
        <v>0</v>
      </c>
      <c r="CC34">
        <f t="shared" si="24"/>
        <v>0</v>
      </c>
      <c r="CE34" s="107">
        <f>+BD30</f>
        <v>0</v>
      </c>
      <c r="CF34" s="107" t="s">
        <v>994</v>
      </c>
      <c r="CH34" s="133">
        <f>+AO59</f>
        <v>0</v>
      </c>
      <c r="CI34" s="134" t="s">
        <v>377</v>
      </c>
      <c r="CK34" s="120">
        <f t="shared" si="49"/>
        <v>0</v>
      </c>
      <c r="CL34" s="324" t="s">
        <v>1231</v>
      </c>
      <c r="CN34" s="120"/>
      <c r="CO34" s="138"/>
      <c r="CQ34" s="120">
        <f>+AO59</f>
        <v>0</v>
      </c>
      <c r="CR34" s="138" t="s">
        <v>377</v>
      </c>
      <c r="CS34" s="121"/>
      <c r="CT34" s="120"/>
      <c r="CU34" s="137" t="s">
        <v>112</v>
      </c>
      <c r="CW34" s="123">
        <f>IF(SUM(CW32,CW28,CW24)&gt;0,1,0)</f>
        <v>0</v>
      </c>
      <c r="CX34" s="124" t="s">
        <v>440</v>
      </c>
      <c r="CZ34" s="121"/>
      <c r="DA34">
        <f t="shared" ref="DA34:DA57" si="70">+AO34</f>
        <v>0</v>
      </c>
      <c r="DB34" s="221" t="s">
        <v>361</v>
      </c>
      <c r="DC34" s="165" t="s">
        <v>598</v>
      </c>
      <c r="DD34" t="str">
        <f t="shared" ref="DD34:DD56" si="71">IF($AZ$69=1,CONCATENATE("LLT4",DC34),CONCATENATE("LLT3",DC34))</f>
        <v>LLT370</v>
      </c>
      <c r="DE34" t="e">
        <f t="shared" si="37"/>
        <v>#N/A</v>
      </c>
      <c r="DF34" t="e">
        <f>VLOOKUP(1,$BL$23:$BP$29,5,FALSE)</f>
        <v>#N/A</v>
      </c>
      <c r="DG34" t="e">
        <f>LEFT(VLOOKUP(1,$AU$3:$AW$54,3,FALSE),2)</f>
        <v>#N/A</v>
      </c>
      <c r="DH34" t="e">
        <f t="shared" ref="DH34:DH56" si="72">IF($BE$7=1,"",VLOOKUP(1,$DJ$73:$DK$74,2,FALSE))</f>
        <v>#N/A</v>
      </c>
      <c r="DI34" t="str">
        <f>IF($BE$7+$CQ$8=2,"WR","R")</f>
        <v>R</v>
      </c>
      <c r="DJ34" t="str">
        <f t="shared" ref="DJ34:DJ56" si="73">IF($BD$16=1,"B Cstm  "," Cstm  ")</f>
        <v xml:space="preserve"> Cstm  </v>
      </c>
      <c r="DK34" s="42" t="e">
        <f t="shared" ref="DK34:DK45" si="74">IF($CQ$8=1,CONCATENATE(DE34,DF34,DG34,DH34,DI34,DJ34),CONCATENATE(DE34,DF34,DG34,DH34,DJ34))</f>
        <v>#N/A</v>
      </c>
      <c r="DL34" s="42" t="b">
        <f>ISERROR(DK34)</f>
        <v>1</v>
      </c>
      <c r="DM34" s="121" t="str">
        <f t="shared" si="65"/>
        <v/>
      </c>
      <c r="DR34" s="212" t="s">
        <v>934</v>
      </c>
      <c r="DT34" t="s">
        <v>327</v>
      </c>
      <c r="DU34" s="39">
        <v>0</v>
      </c>
      <c r="DV34" s="181" t="s">
        <v>966</v>
      </c>
      <c r="EG34" s="89" t="s">
        <v>149</v>
      </c>
      <c r="EH34" s="3" t="e">
        <f>+EH11</f>
        <v>#N/A</v>
      </c>
      <c r="EI34" s="3"/>
      <c r="EJ34" s="89" t="s">
        <v>387</v>
      </c>
      <c r="EK34" s="3" t="str">
        <f>+EK24</f>
        <v>Clear Ambassador</v>
      </c>
      <c r="EM34" t="s">
        <v>398</v>
      </c>
    </row>
    <row r="35" spans="1:143" x14ac:dyDescent="0.3">
      <c r="A35" s="396"/>
      <c r="B35" s="234"/>
      <c r="C35" s="74" t="s">
        <v>72</v>
      </c>
      <c r="D35" s="75"/>
      <c r="E35" s="75"/>
      <c r="F35" s="98"/>
      <c r="G35" s="51" t="s">
        <v>501</v>
      </c>
      <c r="H35" s="334"/>
      <c r="I35" s="51"/>
      <c r="J35" s="51"/>
      <c r="K35" s="99"/>
      <c r="L35" s="51" t="s">
        <v>162</v>
      </c>
      <c r="M35" s="51"/>
      <c r="N35" s="51"/>
      <c r="O35" s="53"/>
      <c r="P35" s="99"/>
      <c r="Q35" s="51" t="s">
        <v>185</v>
      </c>
      <c r="R35" s="53"/>
      <c r="S35" s="53"/>
      <c r="T35" s="53"/>
      <c r="U35" s="53"/>
      <c r="V35" s="53"/>
      <c r="W35" s="53"/>
      <c r="X35" s="53"/>
      <c r="Y35" s="53"/>
      <c r="Z35" s="53"/>
      <c r="AA35" s="53"/>
      <c r="AB35" s="53"/>
      <c r="AC35" s="53"/>
      <c r="AD35" s="53"/>
      <c r="AE35" s="53"/>
      <c r="AF35" s="53"/>
      <c r="AG35" s="53"/>
      <c r="AJ35" t="str">
        <f t="shared" si="66"/>
        <v/>
      </c>
      <c r="AN35" s="2" t="s">
        <v>213</v>
      </c>
      <c r="AO35" s="9">
        <f t="shared" si="31"/>
        <v>0</v>
      </c>
      <c r="AP35" s="16" t="b">
        <f t="shared" si="32"/>
        <v>0</v>
      </c>
      <c r="AQ35" s="16">
        <f t="shared" si="33"/>
        <v>0</v>
      </c>
      <c r="AR35" s="4" t="s">
        <v>362</v>
      </c>
      <c r="AS35" s="24">
        <v>1295</v>
      </c>
      <c r="AT35" s="24">
        <f>+AS35+200</f>
        <v>1495</v>
      </c>
      <c r="AU35" s="9">
        <f t="shared" si="20"/>
        <v>0</v>
      </c>
      <c r="AV35" s="17"/>
      <c r="AW35" s="151" t="s">
        <v>501</v>
      </c>
      <c r="AX35" s="35">
        <v>0</v>
      </c>
      <c r="AY35" s="35">
        <v>0</v>
      </c>
      <c r="BA35" s="9">
        <f t="shared" si="21"/>
        <v>0</v>
      </c>
      <c r="BB35" s="236"/>
      <c r="BD35" s="15">
        <f>IF(K35="",0,1)</f>
        <v>0</v>
      </c>
      <c r="BG35" s="151" t="s">
        <v>162</v>
      </c>
      <c r="BL35" s="15">
        <f>IF(P33="",0,1)</f>
        <v>0</v>
      </c>
      <c r="BM35" s="45">
        <f>+BL35*0</f>
        <v>0</v>
      </c>
      <c r="BN35" s="3" t="s">
        <v>183</v>
      </c>
      <c r="BP35" s="156" t="s">
        <v>27</v>
      </c>
      <c r="BR35" s="33">
        <f t="shared" si="5"/>
        <v>0</v>
      </c>
      <c r="BS35" s="33">
        <f t="shared" si="22"/>
        <v>0</v>
      </c>
      <c r="BT35" s="2">
        <f t="shared" ref="BT35:BT56" si="75">+$BR$60</f>
        <v>0</v>
      </c>
      <c r="BU35">
        <f t="shared" si="67"/>
        <v>0</v>
      </c>
      <c r="BV35" s="42">
        <f t="shared" si="68"/>
        <v>0</v>
      </c>
      <c r="BW35" s="42">
        <f t="shared" si="60"/>
        <v>0</v>
      </c>
      <c r="BZ35">
        <f t="shared" ref="BZ35:BZ56" si="76">IF($BD$16=1,$DU$10,0)</f>
        <v>0</v>
      </c>
      <c r="CA35">
        <f t="shared" si="69"/>
        <v>0</v>
      </c>
      <c r="CC35">
        <f t="shared" si="24"/>
        <v>0</v>
      </c>
      <c r="CE35" s="107">
        <f>IF(SUM(CE32,CE33,CE34)&gt;0,1,0)</f>
        <v>0</v>
      </c>
      <c r="CF35" s="107" t="s">
        <v>1006</v>
      </c>
      <c r="CH35" s="133"/>
      <c r="CI35" s="134" t="s">
        <v>378</v>
      </c>
      <c r="CK35" s="123">
        <f>IF(AND(SUM(CK4:CK7)&gt;0,SUM(CK20:CK34)&gt;0)=TRUE,1,0)</f>
        <v>0</v>
      </c>
      <c r="CL35" s="139" t="s">
        <v>436</v>
      </c>
      <c r="CN35" s="120">
        <f>+AO63</f>
        <v>0</v>
      </c>
      <c r="CO35" s="138" t="s">
        <v>381</v>
      </c>
      <c r="CQ35" s="120">
        <f>+AO60</f>
        <v>0</v>
      </c>
      <c r="CR35" s="138" t="s">
        <v>378</v>
      </c>
      <c r="CS35" s="121"/>
      <c r="CT35" s="120"/>
      <c r="CU35" s="137" t="s">
        <v>113</v>
      </c>
      <c r="CW35" s="125"/>
      <c r="CX35" s="126"/>
      <c r="CZ35" s="121"/>
      <c r="DA35">
        <f t="shared" si="70"/>
        <v>0</v>
      </c>
      <c r="DB35" s="221" t="s">
        <v>362</v>
      </c>
      <c r="DC35" s="165" t="s">
        <v>599</v>
      </c>
      <c r="DD35" t="str">
        <f t="shared" si="71"/>
        <v>LLT380</v>
      </c>
      <c r="DE35" t="e">
        <f t="shared" si="37"/>
        <v>#N/A</v>
      </c>
      <c r="DF35" t="e">
        <f t="shared" ref="DF35:DF56" si="77">VLOOKUP(1,$BL$23:$BP$29,5,FALSE)</f>
        <v>#N/A</v>
      </c>
      <c r="DG35" t="e">
        <f t="shared" ref="DG35:DG56" si="78">LEFT(VLOOKUP(1,$AU$3:$AW$54,3,FALSE),2)</f>
        <v>#N/A</v>
      </c>
      <c r="DH35" t="e">
        <f t="shared" si="72"/>
        <v>#N/A</v>
      </c>
      <c r="DI35" t="str">
        <f t="shared" ref="DI35:DI56" si="79">IF($BE$7+$CQ$8=2,"WR","R")</f>
        <v>R</v>
      </c>
      <c r="DJ35" t="str">
        <f t="shared" si="73"/>
        <v xml:space="preserve"> Cstm  </v>
      </c>
      <c r="DK35" s="42" t="e">
        <f t="shared" si="74"/>
        <v>#N/A</v>
      </c>
      <c r="DL35" s="42" t="b">
        <f t="shared" ref="DL35:DL65" si="80">ISERROR(DK35)</f>
        <v>1</v>
      </c>
      <c r="DM35" s="121" t="str">
        <f t="shared" si="65"/>
        <v/>
      </c>
      <c r="DR35" s="212"/>
      <c r="DV35" s="181"/>
      <c r="EG35" s="89" t="s">
        <v>15</v>
      </c>
      <c r="EH35" s="3" t="e">
        <f>VLOOKUP(1,BL35:BN38,3,FALSE)</f>
        <v>#N/A</v>
      </c>
      <c r="EI35" s="3"/>
      <c r="EJ35" s="89" t="s">
        <v>33</v>
      </c>
      <c r="EK35" s="3" t="e">
        <f>+EK15</f>
        <v>#N/A</v>
      </c>
      <c r="EM35" t="s">
        <v>398</v>
      </c>
    </row>
    <row r="36" spans="1:143" ht="15" thickBot="1" x14ac:dyDescent="0.35">
      <c r="A36" s="396"/>
      <c r="B36" s="234"/>
      <c r="C36" s="74" t="s">
        <v>73</v>
      </c>
      <c r="D36" s="75"/>
      <c r="E36" s="75"/>
      <c r="F36" s="98"/>
      <c r="G36" s="51" t="s">
        <v>499</v>
      </c>
      <c r="H36" s="334"/>
      <c r="I36" s="51"/>
      <c r="J36" s="51"/>
      <c r="K36" s="51"/>
      <c r="L36" s="51"/>
      <c r="M36" s="51"/>
      <c r="N36" s="51"/>
      <c r="O36" s="53"/>
      <c r="P36" s="99"/>
      <c r="Q36" s="51" t="s">
        <v>326</v>
      </c>
      <c r="R36" s="53"/>
      <c r="S36" s="53"/>
      <c r="T36" s="53"/>
      <c r="U36" s="53"/>
      <c r="V36" s="53"/>
      <c r="W36" s="53"/>
      <c r="X36" s="53"/>
      <c r="Y36" s="53"/>
      <c r="Z36" s="53"/>
      <c r="AA36" s="53"/>
      <c r="AB36" s="53"/>
      <c r="AC36" s="53"/>
      <c r="AD36" s="53"/>
      <c r="AE36" s="53"/>
      <c r="AF36" s="53"/>
      <c r="AG36" s="53"/>
      <c r="AJ36" t="str">
        <f t="shared" si="66"/>
        <v/>
      </c>
      <c r="AN36" s="2" t="s">
        <v>213</v>
      </c>
      <c r="AO36" s="9">
        <f t="shared" si="31"/>
        <v>0</v>
      </c>
      <c r="AP36" s="16" t="b">
        <f t="shared" si="32"/>
        <v>0</v>
      </c>
      <c r="AQ36" s="16">
        <f t="shared" si="33"/>
        <v>0</v>
      </c>
      <c r="AR36" s="4" t="s">
        <v>363</v>
      </c>
      <c r="AS36" s="24">
        <v>1295</v>
      </c>
      <c r="AT36" s="24">
        <f>+AS36+200</f>
        <v>1495</v>
      </c>
      <c r="AU36" s="9">
        <f t="shared" si="20"/>
        <v>0</v>
      </c>
      <c r="AV36" s="17"/>
      <c r="AW36" s="151" t="s">
        <v>499</v>
      </c>
      <c r="AX36" s="35">
        <v>0</v>
      </c>
      <c r="AY36" s="35">
        <v>0</v>
      </c>
      <c r="BA36" s="9">
        <f t="shared" si="21"/>
        <v>0</v>
      </c>
      <c r="BB36" s="236"/>
      <c r="BG36" s="38"/>
      <c r="BL36" s="15">
        <f>IF(P34="",0,1)</f>
        <v>0</v>
      </c>
      <c r="BM36" s="45">
        <f>+BL36*0</f>
        <v>0</v>
      </c>
      <c r="BN36" s="3" t="s">
        <v>184</v>
      </c>
      <c r="BP36" s="156" t="s">
        <v>550</v>
      </c>
      <c r="BR36" s="33">
        <f t="shared" si="5"/>
        <v>0</v>
      </c>
      <c r="BS36" s="33">
        <f t="shared" si="22"/>
        <v>0</v>
      </c>
      <c r="BT36" s="2">
        <f t="shared" si="75"/>
        <v>0</v>
      </c>
      <c r="BU36">
        <f t="shared" si="67"/>
        <v>0</v>
      </c>
      <c r="BV36" s="42">
        <f t="shared" si="68"/>
        <v>0</v>
      </c>
      <c r="BW36" s="42">
        <f t="shared" si="60"/>
        <v>0</v>
      </c>
      <c r="BZ36">
        <f t="shared" si="76"/>
        <v>0</v>
      </c>
      <c r="CA36">
        <f t="shared" si="69"/>
        <v>0</v>
      </c>
      <c r="CC36">
        <f t="shared" si="24"/>
        <v>0</v>
      </c>
      <c r="CE36" s="108" t="s">
        <v>1020</v>
      </c>
      <c r="CF36" s="110"/>
      <c r="CH36" s="133">
        <f>+AO63</f>
        <v>0</v>
      </c>
      <c r="CI36" s="134" t="s">
        <v>381</v>
      </c>
      <c r="CK36" s="131" t="s">
        <v>437</v>
      </c>
      <c r="CL36" s="132"/>
      <c r="CN36" s="123">
        <f>+CN35*CN33</f>
        <v>0</v>
      </c>
      <c r="CO36" s="139" t="s">
        <v>452</v>
      </c>
      <c r="CQ36" s="120">
        <f>+AO62</f>
        <v>0</v>
      </c>
      <c r="CR36" s="138" t="s">
        <v>380</v>
      </c>
      <c r="CS36" s="121"/>
      <c r="CT36" s="120"/>
      <c r="CU36" s="137" t="s">
        <v>114</v>
      </c>
      <c r="CZ36" s="121"/>
      <c r="DA36">
        <f t="shared" si="70"/>
        <v>0</v>
      </c>
      <c r="DB36" s="221" t="s">
        <v>363</v>
      </c>
      <c r="DC36" s="165" t="s">
        <v>600</v>
      </c>
      <c r="DD36" t="str">
        <f t="shared" si="71"/>
        <v>LLT390</v>
      </c>
      <c r="DE36" t="e">
        <f t="shared" si="37"/>
        <v>#N/A</v>
      </c>
      <c r="DF36" t="e">
        <f t="shared" si="77"/>
        <v>#N/A</v>
      </c>
      <c r="DG36" t="e">
        <f t="shared" si="78"/>
        <v>#N/A</v>
      </c>
      <c r="DH36" t="e">
        <f t="shared" si="72"/>
        <v>#N/A</v>
      </c>
      <c r="DI36" t="str">
        <f t="shared" si="79"/>
        <v>R</v>
      </c>
      <c r="DJ36" t="str">
        <f t="shared" si="73"/>
        <v xml:space="preserve"> Cstm  </v>
      </c>
      <c r="DK36" s="42" t="e">
        <f t="shared" si="74"/>
        <v>#N/A</v>
      </c>
      <c r="DL36" s="42" t="b">
        <f t="shared" si="80"/>
        <v>1</v>
      </c>
      <c r="DM36" s="121" t="str">
        <f t="shared" si="65"/>
        <v/>
      </c>
      <c r="DR36" s="212"/>
      <c r="DT36" s="192" t="s">
        <v>309</v>
      </c>
      <c r="DU36" s="39"/>
      <c r="DV36" s="181"/>
      <c r="EG36" s="3"/>
      <c r="EH36" s="3"/>
      <c r="EI36" s="3"/>
      <c r="EJ36" s="3"/>
      <c r="EK36" s="3"/>
      <c r="EM36" t="s">
        <v>398</v>
      </c>
    </row>
    <row r="37" spans="1:143" ht="15.6" x14ac:dyDescent="0.3">
      <c r="A37" s="396"/>
      <c r="B37" s="234"/>
      <c r="C37" s="74" t="s">
        <v>74</v>
      </c>
      <c r="D37" s="75"/>
      <c r="E37" s="75"/>
      <c r="F37" s="98"/>
      <c r="G37" s="51" t="s">
        <v>500</v>
      </c>
      <c r="H37" s="334"/>
      <c r="I37" s="51"/>
      <c r="J37" s="51"/>
      <c r="K37" s="60" t="s">
        <v>232</v>
      </c>
      <c r="L37" s="51"/>
      <c r="M37" s="51"/>
      <c r="N37" s="51"/>
      <c r="O37" s="53"/>
      <c r="P37" s="53"/>
      <c r="Q37" s="114" t="s">
        <v>581</v>
      </c>
      <c r="R37" s="114"/>
      <c r="S37" s="53"/>
      <c r="T37" s="53"/>
      <c r="U37" s="53"/>
      <c r="V37" s="53"/>
      <c r="W37" s="53"/>
      <c r="X37" s="53"/>
      <c r="Y37" s="53"/>
      <c r="Z37" s="53"/>
      <c r="AA37" s="53"/>
      <c r="AB37" s="53"/>
      <c r="AC37" s="53"/>
      <c r="AD37" s="53"/>
      <c r="AE37" s="53"/>
      <c r="AF37" s="53"/>
      <c r="AG37" s="53"/>
      <c r="AJ37" t="str">
        <f t="shared" si="66"/>
        <v/>
      </c>
      <c r="AN37" s="2" t="s">
        <v>213</v>
      </c>
      <c r="AO37" s="9">
        <f t="shared" si="31"/>
        <v>0</v>
      </c>
      <c r="AP37" s="16" t="b">
        <f t="shared" si="32"/>
        <v>0</v>
      </c>
      <c r="AQ37" s="16">
        <f t="shared" si="33"/>
        <v>0</v>
      </c>
      <c r="AR37" s="4" t="s">
        <v>364</v>
      </c>
      <c r="AS37" s="24">
        <v>1185</v>
      </c>
      <c r="AT37" s="24">
        <f t="shared" ref="AT37:AT65" si="81">+AS37+200</f>
        <v>1385</v>
      </c>
      <c r="AU37" s="9">
        <f t="shared" si="20"/>
        <v>0</v>
      </c>
      <c r="AV37" s="17"/>
      <c r="AW37" s="151" t="s">
        <v>500</v>
      </c>
      <c r="AX37" s="35">
        <v>0</v>
      </c>
      <c r="AY37" s="35">
        <v>0</v>
      </c>
      <c r="BA37" s="9">
        <f t="shared" si="21"/>
        <v>0</v>
      </c>
      <c r="BB37" s="236"/>
      <c r="BD37" s="12" t="s">
        <v>235</v>
      </c>
      <c r="BE37" s="3" t="s">
        <v>227</v>
      </c>
      <c r="BF37" s="3"/>
      <c r="BL37" s="15">
        <f>IF(P35="",0,1)</f>
        <v>0</v>
      </c>
      <c r="BM37" s="45">
        <f>BL37*DU33</f>
        <v>0</v>
      </c>
      <c r="BN37" s="3" t="s">
        <v>185</v>
      </c>
      <c r="BP37" s="156" t="s">
        <v>545</v>
      </c>
      <c r="BR37" s="33">
        <f t="shared" si="5"/>
        <v>0</v>
      </c>
      <c r="BS37" s="33">
        <f t="shared" si="22"/>
        <v>0</v>
      </c>
      <c r="BT37" s="2">
        <f t="shared" si="75"/>
        <v>0</v>
      </c>
      <c r="BU37">
        <f t="shared" si="67"/>
        <v>0</v>
      </c>
      <c r="BV37" s="42">
        <f t="shared" si="68"/>
        <v>0</v>
      </c>
      <c r="BW37" s="42">
        <f t="shared" si="60"/>
        <v>0</v>
      </c>
      <c r="BZ37">
        <f t="shared" si="76"/>
        <v>0</v>
      </c>
      <c r="CA37">
        <f t="shared" si="69"/>
        <v>0</v>
      </c>
      <c r="CC37">
        <f t="shared" si="24"/>
        <v>0</v>
      </c>
      <c r="CE37" s="107">
        <f>+BL24</f>
        <v>0</v>
      </c>
      <c r="CF37" s="109" t="s">
        <v>174</v>
      </c>
      <c r="CH37" s="133">
        <f>+AO64</f>
        <v>0</v>
      </c>
      <c r="CI37" s="134" t="s">
        <v>382</v>
      </c>
      <c r="CK37" s="131">
        <f t="shared" ref="CK37:CK68" si="82">+AU3</f>
        <v>0</v>
      </c>
      <c r="CL37" s="142" t="s">
        <v>119</v>
      </c>
      <c r="CN37" s="120"/>
      <c r="CO37" s="138"/>
      <c r="CQ37" s="120">
        <f>+AO63</f>
        <v>0</v>
      </c>
      <c r="CR37" s="138" t="s">
        <v>381</v>
      </c>
      <c r="CS37" s="121"/>
      <c r="CT37" s="120"/>
      <c r="CU37" s="137" t="s">
        <v>481</v>
      </c>
      <c r="CZ37" s="121"/>
      <c r="DA37">
        <f t="shared" si="70"/>
        <v>0</v>
      </c>
      <c r="DB37" s="221" t="s">
        <v>364</v>
      </c>
      <c r="DC37" s="165" t="s">
        <v>601</v>
      </c>
      <c r="DD37" t="str">
        <f t="shared" si="71"/>
        <v>LLT382</v>
      </c>
      <c r="DE37" t="e">
        <f t="shared" si="37"/>
        <v>#N/A</v>
      </c>
      <c r="DF37" t="e">
        <f t="shared" si="77"/>
        <v>#N/A</v>
      </c>
      <c r="DG37" t="e">
        <f t="shared" si="78"/>
        <v>#N/A</v>
      </c>
      <c r="DH37" s="152" t="e">
        <f t="shared" si="72"/>
        <v>#N/A</v>
      </c>
      <c r="DI37" t="str">
        <f t="shared" si="79"/>
        <v>R</v>
      </c>
      <c r="DJ37" t="str">
        <f t="shared" si="73"/>
        <v xml:space="preserve"> Cstm  </v>
      </c>
      <c r="DK37" s="42" t="e">
        <f t="shared" si="74"/>
        <v>#N/A</v>
      </c>
      <c r="DL37" s="42" t="b">
        <f t="shared" si="80"/>
        <v>1</v>
      </c>
      <c r="DM37" s="121" t="str">
        <f t="shared" si="65"/>
        <v/>
      </c>
      <c r="DR37" s="212" t="s">
        <v>935</v>
      </c>
      <c r="DT37" t="s">
        <v>174</v>
      </c>
      <c r="DU37" s="39">
        <v>50</v>
      </c>
      <c r="DV37" s="181" t="s">
        <v>967</v>
      </c>
      <c r="EG37" s="66" t="str">
        <f>IF(AQ70=1,"Snare Drum",CONCATENATE(AQ70," Snare Drums Chosen"))</f>
        <v>0 Snare Drums Chosen</v>
      </c>
      <c r="EH37" s="187" t="s">
        <v>639</v>
      </c>
      <c r="EI37" s="3"/>
      <c r="EJ37" s="3"/>
      <c r="EK37" s="3"/>
      <c r="EM37" t="s">
        <v>398</v>
      </c>
    </row>
    <row r="38" spans="1:143" x14ac:dyDescent="0.3">
      <c r="A38" s="396"/>
      <c r="B38" s="234"/>
      <c r="C38" s="74" t="s">
        <v>75</v>
      </c>
      <c r="D38" s="75"/>
      <c r="E38" s="75"/>
      <c r="F38" s="98"/>
      <c r="G38" s="51" t="s">
        <v>122</v>
      </c>
      <c r="H38" s="334"/>
      <c r="I38" s="51"/>
      <c r="J38" s="51"/>
      <c r="K38" s="99"/>
      <c r="L38" s="54" t="s">
        <v>186</v>
      </c>
      <c r="M38" s="51"/>
      <c r="N38" s="3"/>
      <c r="O38" s="51"/>
      <c r="P38" s="60" t="s">
        <v>197</v>
      </c>
      <c r="Q38" s="53"/>
      <c r="R38" s="51"/>
      <c r="S38" s="51"/>
      <c r="T38" s="51"/>
      <c r="U38" s="51"/>
      <c r="V38" s="51"/>
      <c r="W38" s="51"/>
      <c r="X38" s="51"/>
      <c r="Y38" s="51"/>
      <c r="Z38" s="51"/>
      <c r="AA38" s="51"/>
      <c r="AB38" s="51"/>
      <c r="AC38" s="51"/>
      <c r="AD38" s="51"/>
      <c r="AE38" s="51"/>
      <c r="AF38" s="51"/>
      <c r="AG38" s="51"/>
      <c r="AJ38" t="str">
        <f t="shared" si="66"/>
        <v/>
      </c>
      <c r="AN38" s="2" t="s">
        <v>213</v>
      </c>
      <c r="AO38" s="9">
        <f t="shared" si="31"/>
        <v>0</v>
      </c>
      <c r="AP38" s="16" t="b">
        <f t="shared" si="32"/>
        <v>0</v>
      </c>
      <c r="AQ38" s="16">
        <f t="shared" si="33"/>
        <v>0</v>
      </c>
      <c r="AR38" s="4" t="s">
        <v>365</v>
      </c>
      <c r="AS38" s="24">
        <v>1185</v>
      </c>
      <c r="AT38" s="24">
        <f t="shared" si="81"/>
        <v>1385</v>
      </c>
      <c r="AU38" s="9">
        <f t="shared" si="20"/>
        <v>0</v>
      </c>
      <c r="AV38" s="17"/>
      <c r="AW38" s="151" t="s">
        <v>122</v>
      </c>
      <c r="AX38" s="35">
        <v>-150</v>
      </c>
      <c r="AY38" s="35">
        <v>-150</v>
      </c>
      <c r="BA38" s="9">
        <f t="shared" si="21"/>
        <v>0</v>
      </c>
      <c r="BB38" s="236"/>
      <c r="BD38" s="15">
        <f>IF(K38="",0,1)</f>
        <v>0</v>
      </c>
      <c r="BE38" s="39">
        <f>+BD38*0</f>
        <v>0</v>
      </c>
      <c r="BF38" s="3" t="s">
        <v>186</v>
      </c>
      <c r="BL38" s="15">
        <f>IF(P36="",0,1)</f>
        <v>0</v>
      </c>
      <c r="BM38" s="45">
        <f>+BL38*DU34</f>
        <v>0</v>
      </c>
      <c r="BN38" s="3" t="s">
        <v>327</v>
      </c>
      <c r="BP38" s="156" t="s">
        <v>551</v>
      </c>
      <c r="BR38" s="33">
        <f t="shared" si="5"/>
        <v>0</v>
      </c>
      <c r="BS38" s="33">
        <f t="shared" si="22"/>
        <v>0</v>
      </c>
      <c r="BT38" s="2">
        <f t="shared" si="75"/>
        <v>0</v>
      </c>
      <c r="BU38">
        <f t="shared" si="67"/>
        <v>0</v>
      </c>
      <c r="BV38" s="42">
        <f t="shared" si="68"/>
        <v>0</v>
      </c>
      <c r="BW38" s="42">
        <f t="shared" si="60"/>
        <v>0</v>
      </c>
      <c r="BZ38">
        <f t="shared" si="76"/>
        <v>0</v>
      </c>
      <c r="CA38">
        <f t="shared" si="69"/>
        <v>0</v>
      </c>
      <c r="CC38">
        <f t="shared" si="24"/>
        <v>0</v>
      </c>
      <c r="CE38" s="107">
        <f>+BL25</f>
        <v>0</v>
      </c>
      <c r="CF38" s="109" t="s">
        <v>175</v>
      </c>
      <c r="CH38" s="133">
        <f>+AO65</f>
        <v>0</v>
      </c>
      <c r="CI38" s="134" t="s">
        <v>383</v>
      </c>
      <c r="CK38" s="131">
        <f t="shared" si="82"/>
        <v>0</v>
      </c>
      <c r="CL38" s="142" t="s">
        <v>131</v>
      </c>
      <c r="CN38" s="120" t="s">
        <v>454</v>
      </c>
      <c r="CO38" s="122"/>
      <c r="CQ38" s="120">
        <f>+AO65</f>
        <v>0</v>
      </c>
      <c r="CR38" s="138" t="s">
        <v>383</v>
      </c>
      <c r="CS38" s="121"/>
      <c r="CT38" s="120"/>
      <c r="CU38" s="122"/>
      <c r="CW38" s="118" t="s">
        <v>576</v>
      </c>
      <c r="CX38" s="119"/>
      <c r="CZ38" s="121"/>
      <c r="DA38">
        <f t="shared" si="70"/>
        <v>0</v>
      </c>
      <c r="DB38" s="221" t="s">
        <v>365</v>
      </c>
      <c r="DC38" s="165" t="s">
        <v>602</v>
      </c>
      <c r="DD38" t="str">
        <f t="shared" si="71"/>
        <v>LLT392</v>
      </c>
      <c r="DE38" t="e">
        <f t="shared" si="37"/>
        <v>#N/A</v>
      </c>
      <c r="DF38" t="e">
        <f t="shared" si="77"/>
        <v>#N/A</v>
      </c>
      <c r="DG38" t="e">
        <f t="shared" si="78"/>
        <v>#N/A</v>
      </c>
      <c r="DH38" t="e">
        <f t="shared" si="72"/>
        <v>#N/A</v>
      </c>
      <c r="DI38" t="str">
        <f t="shared" si="79"/>
        <v>R</v>
      </c>
      <c r="DJ38" t="str">
        <f t="shared" si="73"/>
        <v xml:space="preserve"> Cstm  </v>
      </c>
      <c r="DK38" s="42" t="e">
        <f t="shared" si="74"/>
        <v>#N/A</v>
      </c>
      <c r="DL38" s="42" t="b">
        <f t="shared" si="80"/>
        <v>1</v>
      </c>
      <c r="DM38" s="121" t="str">
        <f t="shared" si="65"/>
        <v/>
      </c>
      <c r="DR38" s="212" t="s">
        <v>936</v>
      </c>
      <c r="DT38" t="s">
        <v>175</v>
      </c>
      <c r="DU38" s="39">
        <v>50</v>
      </c>
      <c r="DV38" s="181" t="s">
        <v>968</v>
      </c>
      <c r="EG38" s="399" t="str">
        <f>+DN66</f>
        <v/>
      </c>
      <c r="EH38" s="388"/>
      <c r="EI38" s="388"/>
      <c r="EJ38" s="388"/>
      <c r="EK38" s="388"/>
      <c r="EM38" t="s">
        <v>398</v>
      </c>
    </row>
    <row r="39" spans="1:143" x14ac:dyDescent="0.3">
      <c r="A39" s="396"/>
      <c r="B39" s="234"/>
      <c r="C39" s="74" t="s">
        <v>76</v>
      </c>
      <c r="D39" s="75"/>
      <c r="E39" s="75"/>
      <c r="F39" s="95"/>
      <c r="G39" s="51" t="s">
        <v>127</v>
      </c>
      <c r="H39" s="334"/>
      <c r="I39" s="51"/>
      <c r="J39" s="51"/>
      <c r="K39" s="99"/>
      <c r="L39" s="51" t="s">
        <v>187</v>
      </c>
      <c r="M39" s="51"/>
      <c r="N39" s="51"/>
      <c r="O39" s="51"/>
      <c r="P39" s="99"/>
      <c r="Q39" s="54" t="s">
        <v>198</v>
      </c>
      <c r="R39" s="51"/>
      <c r="S39" s="51"/>
      <c r="T39" s="51"/>
      <c r="U39" s="51"/>
      <c r="V39" s="51"/>
      <c r="W39" s="51"/>
      <c r="X39" s="51"/>
      <c r="Y39" s="51"/>
      <c r="Z39" s="51"/>
      <c r="AA39" s="51"/>
      <c r="AB39" s="51"/>
      <c r="AC39" s="51"/>
      <c r="AD39" s="51"/>
      <c r="AE39" s="51"/>
      <c r="AF39" s="51"/>
      <c r="AG39" s="51"/>
      <c r="AJ39" t="str">
        <f t="shared" si="66"/>
        <v/>
      </c>
      <c r="AN39" s="2" t="s">
        <v>213</v>
      </c>
      <c r="AO39" s="9">
        <f t="shared" ref="AO39:AO65" si="83">IF(B39="",0,1)</f>
        <v>0</v>
      </c>
      <c r="AP39" s="16" t="b">
        <f t="shared" ref="AP39:AP65" si="84">ISNUMBER(B39)</f>
        <v>0</v>
      </c>
      <c r="AQ39" s="16">
        <f t="shared" ref="AQ39:AQ65" si="85">IF(AP39=TRUE,B39,AO39)</f>
        <v>0</v>
      </c>
      <c r="AR39" s="4" t="s">
        <v>366</v>
      </c>
      <c r="AS39" s="24">
        <v>1185</v>
      </c>
      <c r="AT39" s="24">
        <f t="shared" si="81"/>
        <v>1385</v>
      </c>
      <c r="AU39" s="9">
        <f t="shared" si="20"/>
        <v>0</v>
      </c>
      <c r="AV39" s="17"/>
      <c r="AW39" s="151" t="s">
        <v>127</v>
      </c>
      <c r="AX39" s="35">
        <v>-150</v>
      </c>
      <c r="AY39" s="35">
        <v>-150</v>
      </c>
      <c r="BA39" s="9">
        <f t="shared" si="21"/>
        <v>0</v>
      </c>
      <c r="BB39" s="7"/>
      <c r="BD39" s="15">
        <f>IF(K39="",0,1)</f>
        <v>0</v>
      </c>
      <c r="BE39" s="39">
        <f>+BD39*DU44</f>
        <v>0</v>
      </c>
      <c r="BF39" s="3" t="s">
        <v>187</v>
      </c>
      <c r="BK39" s="18" t="s">
        <v>204</v>
      </c>
      <c r="BL39" s="2">
        <f>SUM(BL35:BL38)</f>
        <v>0</v>
      </c>
      <c r="BM39" s="44">
        <f>SUM(BM35:BM38)</f>
        <v>0</v>
      </c>
      <c r="BN39" s="24" t="s">
        <v>227</v>
      </c>
      <c r="BR39" s="33">
        <f t="shared" si="5"/>
        <v>0</v>
      </c>
      <c r="BS39" s="33">
        <f t="shared" si="22"/>
        <v>0</v>
      </c>
      <c r="BT39" s="2">
        <f t="shared" si="75"/>
        <v>0</v>
      </c>
      <c r="BU39">
        <f t="shared" si="67"/>
        <v>0</v>
      </c>
      <c r="BV39" s="42">
        <f t="shared" si="68"/>
        <v>0</v>
      </c>
      <c r="BW39" s="42">
        <f t="shared" si="60"/>
        <v>0</v>
      </c>
      <c r="BZ39">
        <f t="shared" si="76"/>
        <v>0</v>
      </c>
      <c r="CA39">
        <f t="shared" si="69"/>
        <v>0</v>
      </c>
      <c r="CC39">
        <f t="shared" si="24"/>
        <v>0</v>
      </c>
      <c r="CE39" s="107">
        <f>+BL26</f>
        <v>0</v>
      </c>
      <c r="CF39" s="109" t="s">
        <v>176</v>
      </c>
      <c r="CH39" s="133"/>
      <c r="CI39" s="134" t="s">
        <v>425</v>
      </c>
      <c r="CK39" s="131">
        <f t="shared" si="82"/>
        <v>0</v>
      </c>
      <c r="CL39" s="142" t="s">
        <v>124</v>
      </c>
      <c r="CN39" s="120">
        <f>+BI4</f>
        <v>0</v>
      </c>
      <c r="CO39" s="138" t="s">
        <v>456</v>
      </c>
      <c r="CQ39" s="120">
        <f>SUM(CQ32:CQ38)</f>
        <v>0</v>
      </c>
      <c r="CR39" s="138" t="s">
        <v>469</v>
      </c>
      <c r="CS39" s="121"/>
      <c r="CT39" s="120"/>
      <c r="CU39" s="138" t="s">
        <v>449</v>
      </c>
      <c r="CW39" s="120"/>
      <c r="CX39" s="122"/>
      <c r="CZ39" s="121"/>
      <c r="DA39">
        <f t="shared" si="70"/>
        <v>0</v>
      </c>
      <c r="DB39" s="221" t="s">
        <v>366</v>
      </c>
      <c r="DC39" s="165" t="s">
        <v>584</v>
      </c>
      <c r="DD39" t="str">
        <f t="shared" si="71"/>
        <v>LLT302</v>
      </c>
      <c r="DE39" t="e">
        <f t="shared" si="37"/>
        <v>#N/A</v>
      </c>
      <c r="DF39" t="e">
        <f t="shared" si="77"/>
        <v>#N/A</v>
      </c>
      <c r="DG39" t="e">
        <f t="shared" si="78"/>
        <v>#N/A</v>
      </c>
      <c r="DH39" t="e">
        <f t="shared" si="72"/>
        <v>#N/A</v>
      </c>
      <c r="DI39" t="str">
        <f t="shared" si="79"/>
        <v>R</v>
      </c>
      <c r="DJ39" t="str">
        <f t="shared" si="73"/>
        <v xml:space="preserve"> Cstm  </v>
      </c>
      <c r="DK39" s="42" t="e">
        <f t="shared" si="74"/>
        <v>#N/A</v>
      </c>
      <c r="DL39" s="42" t="b">
        <f t="shared" si="80"/>
        <v>1</v>
      </c>
      <c r="DM39" s="121" t="str">
        <f t="shared" si="65"/>
        <v/>
      </c>
      <c r="DR39" s="212" t="s">
        <v>937</v>
      </c>
      <c r="DT39" t="s">
        <v>176</v>
      </c>
      <c r="DU39" s="39">
        <v>50</v>
      </c>
      <c r="DV39" s="181" t="s">
        <v>969</v>
      </c>
      <c r="EG39" s="89" t="s">
        <v>0</v>
      </c>
      <c r="EH39" s="5" t="str">
        <f>IF(AZ69=1,"Legacy Exotic, LXSDCUSTOM","Legacy Classic, LCSDCUSTOM")</f>
        <v>Legacy Classic, LCSDCUSTOM</v>
      </c>
      <c r="EI39" s="3"/>
      <c r="EJ39" s="10"/>
      <c r="EK39" s="186"/>
      <c r="EM39" t="s">
        <v>398</v>
      </c>
    </row>
    <row r="40" spans="1:143" x14ac:dyDescent="0.3">
      <c r="A40" s="396"/>
      <c r="B40" s="234"/>
      <c r="C40" s="74" t="s">
        <v>77</v>
      </c>
      <c r="D40" s="75"/>
      <c r="E40" s="79"/>
      <c r="F40" s="362"/>
      <c r="G40" s="51"/>
      <c r="H40" s="334"/>
      <c r="I40" s="51"/>
      <c r="J40" s="51"/>
      <c r="K40" s="51"/>
      <c r="L40" s="51"/>
      <c r="M40" s="51"/>
      <c r="N40" s="51"/>
      <c r="O40" s="51"/>
      <c r="P40" s="99"/>
      <c r="Q40" s="51" t="s">
        <v>199</v>
      </c>
      <c r="R40" s="51"/>
      <c r="S40" s="51"/>
      <c r="T40" s="51"/>
      <c r="U40" s="51"/>
      <c r="V40" s="51"/>
      <c r="W40" s="51"/>
      <c r="X40" s="51"/>
      <c r="Y40" s="51"/>
      <c r="Z40" s="51"/>
      <c r="AA40" s="51"/>
      <c r="AB40" s="51"/>
      <c r="AC40" s="51"/>
      <c r="AD40" s="51"/>
      <c r="AE40" s="51"/>
      <c r="AF40" s="51"/>
      <c r="AG40" s="51"/>
      <c r="AJ40" t="str">
        <f t="shared" si="66"/>
        <v/>
      </c>
      <c r="AN40" s="2" t="s">
        <v>213</v>
      </c>
      <c r="AO40" s="9">
        <f t="shared" si="83"/>
        <v>0</v>
      </c>
      <c r="AP40" s="16" t="b">
        <f t="shared" si="84"/>
        <v>0</v>
      </c>
      <c r="AQ40" s="16">
        <f t="shared" si="85"/>
        <v>0</v>
      </c>
      <c r="AR40" s="4" t="s">
        <v>367</v>
      </c>
      <c r="AS40" s="24">
        <v>1185</v>
      </c>
      <c r="AT40" s="24">
        <f t="shared" si="81"/>
        <v>1385</v>
      </c>
      <c r="AU40" s="9">
        <f t="shared" si="20"/>
        <v>0</v>
      </c>
      <c r="AV40" s="17"/>
      <c r="AW40" s="236"/>
      <c r="AX40" s="35">
        <v>0</v>
      </c>
      <c r="AY40" s="35">
        <v>0</v>
      </c>
      <c r="BA40" s="9">
        <f t="shared" si="21"/>
        <v>0</v>
      </c>
      <c r="BB40" s="7"/>
      <c r="BC40" s="10" t="s">
        <v>204</v>
      </c>
      <c r="BD40">
        <f>SUM(BD38:BD39)</f>
        <v>0</v>
      </c>
      <c r="BE40" s="44">
        <f>SUM(BE38:BE39)</f>
        <v>0</v>
      </c>
      <c r="BF40" s="36" t="s">
        <v>227</v>
      </c>
      <c r="BI40" s="14" t="s">
        <v>197</v>
      </c>
      <c r="BJ40" s="14"/>
      <c r="BK40" s="14"/>
      <c r="BR40" s="33">
        <f t="shared" si="5"/>
        <v>0</v>
      </c>
      <c r="BS40" s="33">
        <f t="shared" si="22"/>
        <v>0</v>
      </c>
      <c r="BT40" s="2">
        <f t="shared" si="75"/>
        <v>0</v>
      </c>
      <c r="BU40">
        <f t="shared" si="67"/>
        <v>0</v>
      </c>
      <c r="BV40" s="42">
        <f t="shared" si="68"/>
        <v>0</v>
      </c>
      <c r="BW40" s="42">
        <f t="shared" si="60"/>
        <v>0</v>
      </c>
      <c r="BZ40">
        <f t="shared" si="76"/>
        <v>0</v>
      </c>
      <c r="CA40">
        <f t="shared" si="69"/>
        <v>0</v>
      </c>
      <c r="CC40">
        <f t="shared" si="24"/>
        <v>0</v>
      </c>
      <c r="CE40" s="107">
        <f>+BL27</f>
        <v>0</v>
      </c>
      <c r="CF40" s="109" t="s">
        <v>177</v>
      </c>
      <c r="CH40" s="133">
        <f>SUM(BE4:BE7)</f>
        <v>0</v>
      </c>
      <c r="CI40" s="134" t="s">
        <v>139</v>
      </c>
      <c r="CK40" s="131">
        <f t="shared" si="82"/>
        <v>0</v>
      </c>
      <c r="CL40" s="142" t="s">
        <v>125</v>
      </c>
      <c r="CN40" s="120"/>
      <c r="CO40" s="122"/>
      <c r="CQ40" s="120"/>
      <c r="CR40" s="138"/>
      <c r="CS40" s="121"/>
      <c r="CT40" s="120"/>
      <c r="CU40" s="138"/>
      <c r="CW40" s="120">
        <f>+BL28</f>
        <v>0</v>
      </c>
      <c r="CX40" s="122" t="s">
        <v>577</v>
      </c>
      <c r="CZ40" s="121"/>
      <c r="DA40">
        <f t="shared" si="70"/>
        <v>0</v>
      </c>
      <c r="DB40" s="221" t="s">
        <v>367</v>
      </c>
      <c r="DC40" s="165" t="s">
        <v>603</v>
      </c>
      <c r="DD40" t="str">
        <f t="shared" si="71"/>
        <v>LLT312</v>
      </c>
      <c r="DE40" t="e">
        <f t="shared" si="37"/>
        <v>#N/A</v>
      </c>
      <c r="DF40" t="e">
        <f t="shared" si="77"/>
        <v>#N/A</v>
      </c>
      <c r="DG40" t="e">
        <f t="shared" si="78"/>
        <v>#N/A</v>
      </c>
      <c r="DH40" t="e">
        <f t="shared" si="72"/>
        <v>#N/A</v>
      </c>
      <c r="DI40" t="str">
        <f t="shared" si="79"/>
        <v>R</v>
      </c>
      <c r="DJ40" t="str">
        <f t="shared" si="73"/>
        <v xml:space="preserve"> Cstm  </v>
      </c>
      <c r="DK40" s="42" t="e">
        <f t="shared" si="74"/>
        <v>#N/A</v>
      </c>
      <c r="DL40" s="42" t="b">
        <f t="shared" si="80"/>
        <v>1</v>
      </c>
      <c r="DM40" s="121" t="str">
        <f t="shared" si="65"/>
        <v/>
      </c>
      <c r="DR40" s="212" t="s">
        <v>938</v>
      </c>
      <c r="DT40" t="s">
        <v>177</v>
      </c>
      <c r="DU40" s="39">
        <v>50</v>
      </c>
      <c r="DV40" s="181" t="s">
        <v>970</v>
      </c>
      <c r="EG40" s="89" t="s">
        <v>1</v>
      </c>
      <c r="EH40" s="3" t="str">
        <f>IF(BD16 = 1,"Snare w/Brass","Snare Drum")</f>
        <v>Snare Drum</v>
      </c>
      <c r="EI40" s="3"/>
      <c r="EJ40" s="3"/>
      <c r="EK40" s="3"/>
      <c r="EM40" t="s">
        <v>398</v>
      </c>
    </row>
    <row r="41" spans="1:143" ht="15.6" x14ac:dyDescent="0.3">
      <c r="A41" s="396"/>
      <c r="B41" s="234"/>
      <c r="C41" s="74" t="s">
        <v>78</v>
      </c>
      <c r="D41" s="75"/>
      <c r="E41" s="79"/>
      <c r="F41" s="362"/>
      <c r="G41" s="51"/>
      <c r="H41" s="334"/>
      <c r="I41" s="51"/>
      <c r="J41" s="51"/>
      <c r="K41" s="51"/>
      <c r="L41" s="51"/>
      <c r="M41" s="51"/>
      <c r="N41" s="51"/>
      <c r="O41" s="53"/>
      <c r="P41" s="114" t="s">
        <v>476</v>
      </c>
      <c r="Q41" s="53"/>
      <c r="R41" s="53"/>
      <c r="S41" s="53"/>
      <c r="T41" s="53"/>
      <c r="U41" s="53"/>
      <c r="V41" s="53"/>
      <c r="W41" s="53"/>
      <c r="X41" s="53"/>
      <c r="Y41" s="53"/>
      <c r="Z41" s="53"/>
      <c r="AA41" s="53"/>
      <c r="AB41" s="53"/>
      <c r="AC41" s="53"/>
      <c r="AD41" s="53"/>
      <c r="AE41" s="53"/>
      <c r="AF41" s="53"/>
      <c r="AG41" s="53"/>
      <c r="AH41" s="3"/>
      <c r="AI41" s="3"/>
      <c r="AJ41" t="str">
        <f t="shared" si="66"/>
        <v/>
      </c>
      <c r="AN41" s="2" t="s">
        <v>213</v>
      </c>
      <c r="AO41" s="9">
        <f t="shared" si="83"/>
        <v>0</v>
      </c>
      <c r="AP41" s="16" t="b">
        <f t="shared" si="84"/>
        <v>0</v>
      </c>
      <c r="AQ41" s="16">
        <f t="shared" si="85"/>
        <v>0</v>
      </c>
      <c r="AR41" s="4" t="s">
        <v>368</v>
      </c>
      <c r="AS41" s="24">
        <v>1195</v>
      </c>
      <c r="AT41" s="24">
        <f t="shared" si="81"/>
        <v>1395</v>
      </c>
      <c r="AU41" s="9">
        <f t="shared" si="20"/>
        <v>0</v>
      </c>
      <c r="AV41" s="17"/>
      <c r="AW41" s="38"/>
      <c r="AX41" s="35">
        <v>0</v>
      </c>
      <c r="AY41" s="35">
        <v>0</v>
      </c>
      <c r="BI41" s="15">
        <f>IF(P39="",0,1)</f>
        <v>0</v>
      </c>
      <c r="BJ41" s="36">
        <f>+BI41*0</f>
        <v>0</v>
      </c>
      <c r="BK41" s="3" t="s">
        <v>198</v>
      </c>
      <c r="BR41" s="33">
        <f t="shared" si="5"/>
        <v>0</v>
      </c>
      <c r="BS41" s="33">
        <f t="shared" si="22"/>
        <v>0</v>
      </c>
      <c r="BT41" s="2">
        <f t="shared" si="75"/>
        <v>0</v>
      </c>
      <c r="BU41">
        <f t="shared" si="67"/>
        <v>0</v>
      </c>
      <c r="BV41" s="42">
        <f t="shared" si="68"/>
        <v>0</v>
      </c>
      <c r="BW41" s="42">
        <f t="shared" si="60"/>
        <v>0</v>
      </c>
      <c r="BZ41">
        <f t="shared" si="76"/>
        <v>0</v>
      </c>
      <c r="CA41">
        <f t="shared" si="69"/>
        <v>0</v>
      </c>
      <c r="CC41">
        <f t="shared" si="24"/>
        <v>0</v>
      </c>
      <c r="CE41" s="107"/>
      <c r="CF41" s="109"/>
      <c r="CH41" s="133">
        <f>SUM(BG4:BG7)</f>
        <v>0</v>
      </c>
      <c r="CI41" s="134" t="s">
        <v>426</v>
      </c>
      <c r="CK41" s="131">
        <f t="shared" si="82"/>
        <v>0</v>
      </c>
      <c r="CL41" s="142" t="s">
        <v>102</v>
      </c>
      <c r="CN41" s="120">
        <f>+AO57</f>
        <v>0</v>
      </c>
      <c r="CO41" s="138" t="s">
        <v>375</v>
      </c>
      <c r="CQ41" s="123">
        <f>+CQ39*CQ30</f>
        <v>0</v>
      </c>
      <c r="CR41" s="139" t="s">
        <v>444</v>
      </c>
      <c r="CS41" s="121"/>
      <c r="CT41" s="123">
        <f>+CT39*CT37</f>
        <v>0</v>
      </c>
      <c r="CU41" s="139" t="s">
        <v>444</v>
      </c>
      <c r="CW41" s="120">
        <f>+BG7</f>
        <v>0</v>
      </c>
      <c r="CX41" s="122" t="s">
        <v>578</v>
      </c>
      <c r="CZ41" s="121"/>
      <c r="DA41">
        <f t="shared" si="70"/>
        <v>0</v>
      </c>
      <c r="DB41" s="221" t="s">
        <v>368</v>
      </c>
      <c r="DC41" s="165" t="s">
        <v>604</v>
      </c>
      <c r="DD41" t="str">
        <f t="shared" si="71"/>
        <v>LLT393</v>
      </c>
      <c r="DE41" t="e">
        <f t="shared" si="37"/>
        <v>#N/A</v>
      </c>
      <c r="DF41" t="e">
        <f t="shared" si="77"/>
        <v>#N/A</v>
      </c>
      <c r="DG41" t="e">
        <f t="shared" si="78"/>
        <v>#N/A</v>
      </c>
      <c r="DH41" t="e">
        <f t="shared" si="72"/>
        <v>#N/A</v>
      </c>
      <c r="DI41" t="str">
        <f t="shared" si="79"/>
        <v>R</v>
      </c>
      <c r="DJ41" t="str">
        <f t="shared" si="73"/>
        <v xml:space="preserve"> Cstm  </v>
      </c>
      <c r="DK41" s="42" t="e">
        <f t="shared" si="74"/>
        <v>#N/A</v>
      </c>
      <c r="DL41" s="42" t="b">
        <f t="shared" si="80"/>
        <v>1</v>
      </c>
      <c r="DM41" s="121" t="str">
        <f t="shared" si="65"/>
        <v/>
      </c>
      <c r="DR41" s="212" t="s">
        <v>939</v>
      </c>
      <c r="DT41" t="s">
        <v>328</v>
      </c>
      <c r="DU41" s="39">
        <v>50</v>
      </c>
      <c r="DV41" s="181" t="s">
        <v>971</v>
      </c>
      <c r="EG41" s="89" t="s">
        <v>2</v>
      </c>
      <c r="EH41" s="387" t="str">
        <f>AJ75</f>
        <v/>
      </c>
      <c r="EI41" s="388"/>
      <c r="EJ41" s="388"/>
      <c r="EK41" s="388"/>
      <c r="EM41" t="s">
        <v>398</v>
      </c>
    </row>
    <row r="42" spans="1:143" x14ac:dyDescent="0.3">
      <c r="A42" s="396"/>
      <c r="B42" s="234"/>
      <c r="C42" s="74" t="s">
        <v>79</v>
      </c>
      <c r="D42" s="75"/>
      <c r="E42" s="79"/>
      <c r="F42" s="362"/>
      <c r="G42" s="51"/>
      <c r="H42" s="51"/>
      <c r="I42" s="51"/>
      <c r="J42" s="57" t="s">
        <v>25</v>
      </c>
      <c r="K42" s="57" t="str">
        <f>IF((BL24+BL26)*AQ69&gt;0, "Toms will have 2 badges","")</f>
        <v/>
      </c>
      <c r="L42" s="51"/>
      <c r="M42" s="51"/>
      <c r="N42" s="59" t="s">
        <v>18</v>
      </c>
      <c r="O42" s="269"/>
      <c r="P42" s="269"/>
      <c r="Q42" s="269"/>
      <c r="R42" s="60" t="s">
        <v>194</v>
      </c>
      <c r="S42" s="269"/>
      <c r="T42" s="269"/>
      <c r="U42" s="269"/>
      <c r="V42" s="269"/>
      <c r="W42" s="269"/>
      <c r="X42" s="269"/>
      <c r="Y42" s="269"/>
      <c r="Z42" s="269"/>
      <c r="AA42" s="269"/>
      <c r="AB42" s="269"/>
      <c r="AC42" s="269"/>
      <c r="AD42" s="269"/>
      <c r="AE42" s="269"/>
      <c r="AF42" s="269"/>
      <c r="AG42" s="269"/>
      <c r="AH42" s="3"/>
      <c r="AI42" s="3"/>
      <c r="AJ42" t="str">
        <f t="shared" si="66"/>
        <v/>
      </c>
      <c r="AN42" s="2" t="s">
        <v>213</v>
      </c>
      <c r="AO42" s="9">
        <f t="shared" si="83"/>
        <v>0</v>
      </c>
      <c r="AP42" s="16" t="b">
        <f t="shared" si="84"/>
        <v>0</v>
      </c>
      <c r="AQ42" s="16">
        <f t="shared" si="85"/>
        <v>0</v>
      </c>
      <c r="AR42" s="4" t="s">
        <v>369</v>
      </c>
      <c r="AS42" s="24">
        <v>1195</v>
      </c>
      <c r="AT42" s="24">
        <f t="shared" si="81"/>
        <v>1395</v>
      </c>
      <c r="AU42" s="13">
        <f t="shared" si="20"/>
        <v>0</v>
      </c>
      <c r="AV42" s="17"/>
      <c r="AW42" s="151"/>
      <c r="AX42" s="35">
        <v>0</v>
      </c>
      <c r="AY42" s="35">
        <v>0</v>
      </c>
      <c r="BI42" s="15">
        <f>IF(P40="",0,1)</f>
        <v>0</v>
      </c>
      <c r="BJ42" s="36">
        <f>+BI42*DU53</f>
        <v>0</v>
      </c>
      <c r="BK42" s="3" t="s">
        <v>199</v>
      </c>
      <c r="BR42" s="33">
        <f t="shared" si="5"/>
        <v>0</v>
      </c>
      <c r="BS42" s="33">
        <f t="shared" si="22"/>
        <v>0</v>
      </c>
      <c r="BT42" s="2">
        <f t="shared" si="75"/>
        <v>0</v>
      </c>
      <c r="BU42">
        <f t="shared" si="67"/>
        <v>0</v>
      </c>
      <c r="BV42" s="42">
        <f t="shared" si="68"/>
        <v>0</v>
      </c>
      <c r="BW42" s="42">
        <f t="shared" si="60"/>
        <v>0</v>
      </c>
      <c r="BZ42">
        <f t="shared" si="76"/>
        <v>0</v>
      </c>
      <c r="CA42">
        <f t="shared" si="69"/>
        <v>0</v>
      </c>
      <c r="CC42">
        <f t="shared" si="24"/>
        <v>0</v>
      </c>
      <c r="CE42" s="107">
        <f>IF(SUM(CE37,CE38,CE39,CE40)&gt;0,1,0)</f>
        <v>0</v>
      </c>
      <c r="CF42" s="109" t="s">
        <v>1007</v>
      </c>
      <c r="CH42" s="133">
        <f>+BH4</f>
        <v>0</v>
      </c>
      <c r="CI42" s="134" t="s">
        <v>146</v>
      </c>
      <c r="CK42" s="131">
        <f t="shared" si="82"/>
        <v>0</v>
      </c>
      <c r="CL42" s="142" t="s">
        <v>117</v>
      </c>
      <c r="CN42" s="120">
        <f>+AO58</f>
        <v>0</v>
      </c>
      <c r="CO42" s="138" t="s">
        <v>376</v>
      </c>
      <c r="CQ42" s="120"/>
      <c r="CR42" s="122"/>
      <c r="CS42" s="121"/>
      <c r="CT42" s="125"/>
      <c r="CU42" s="143"/>
      <c r="CW42" s="123">
        <f>+CW41+CW40</f>
        <v>0</v>
      </c>
      <c r="CX42" s="139" t="s">
        <v>583</v>
      </c>
      <c r="CZ42" s="121"/>
      <c r="DA42">
        <f t="shared" si="70"/>
        <v>0</v>
      </c>
      <c r="DB42" s="221" t="s">
        <v>369</v>
      </c>
      <c r="DC42" s="165" t="s">
        <v>605</v>
      </c>
      <c r="DD42" t="str">
        <f t="shared" si="71"/>
        <v>LLT303</v>
      </c>
      <c r="DE42" t="e">
        <f t="shared" si="37"/>
        <v>#N/A</v>
      </c>
      <c r="DF42" t="e">
        <f t="shared" si="77"/>
        <v>#N/A</v>
      </c>
      <c r="DG42" t="e">
        <f t="shared" si="78"/>
        <v>#N/A</v>
      </c>
      <c r="DH42" t="e">
        <f t="shared" si="72"/>
        <v>#N/A</v>
      </c>
      <c r="DI42" t="str">
        <f t="shared" si="79"/>
        <v>R</v>
      </c>
      <c r="DJ42" t="str">
        <f t="shared" si="73"/>
        <v xml:space="preserve"> Cstm  </v>
      </c>
      <c r="DK42" s="42" t="e">
        <f t="shared" si="74"/>
        <v>#N/A</v>
      </c>
      <c r="DL42" s="42" t="b">
        <f t="shared" si="80"/>
        <v>1</v>
      </c>
      <c r="DM42" s="121" t="str">
        <f t="shared" si="65"/>
        <v/>
      </c>
      <c r="DR42" s="212"/>
      <c r="DV42" s="181" t="s">
        <v>972</v>
      </c>
      <c r="EG42" s="89" t="s">
        <v>3</v>
      </c>
      <c r="EH42" s="3" t="e">
        <f>+EH32</f>
        <v>#N/A</v>
      </c>
      <c r="EI42" s="3"/>
      <c r="EJ42" s="89" t="s">
        <v>18</v>
      </c>
      <c r="EK42" s="3" t="e">
        <f>VLOOKUP(1,BH46:BJ50,3,FALSE)</f>
        <v>#N/A</v>
      </c>
      <c r="EM42" t="s">
        <v>398</v>
      </c>
    </row>
    <row r="43" spans="1:143" x14ac:dyDescent="0.3">
      <c r="A43" s="396"/>
      <c r="B43" s="234"/>
      <c r="C43" s="74" t="s">
        <v>80</v>
      </c>
      <c r="D43" s="75"/>
      <c r="E43" s="79"/>
      <c r="F43" s="362"/>
      <c r="G43" s="51"/>
      <c r="H43" s="51"/>
      <c r="I43" s="51"/>
      <c r="J43" s="96"/>
      <c r="K43" s="51" t="s">
        <v>641</v>
      </c>
      <c r="L43" s="51"/>
      <c r="M43" s="51"/>
      <c r="N43" s="99"/>
      <c r="O43" s="51" t="s">
        <v>189</v>
      </c>
      <c r="P43" s="53"/>
      <c r="Q43" s="51"/>
      <c r="R43" s="96"/>
      <c r="S43" s="51" t="s">
        <v>195</v>
      </c>
      <c r="T43" s="51"/>
      <c r="U43" s="51"/>
      <c r="V43" s="51"/>
      <c r="W43" s="51"/>
      <c r="X43" s="51"/>
      <c r="Y43" s="51"/>
      <c r="Z43" s="51"/>
      <c r="AA43" s="51"/>
      <c r="AB43" s="51"/>
      <c r="AC43" s="51"/>
      <c r="AD43" s="51"/>
      <c r="AE43" s="51"/>
      <c r="AF43" s="51"/>
      <c r="AG43" s="51"/>
      <c r="AH43" s="3"/>
      <c r="AI43" s="3"/>
      <c r="AJ43" t="str">
        <f t="shared" si="66"/>
        <v/>
      </c>
      <c r="AN43" s="2" t="s">
        <v>213</v>
      </c>
      <c r="AO43" s="9">
        <f t="shared" si="83"/>
        <v>0</v>
      </c>
      <c r="AP43" s="16" t="b">
        <f t="shared" si="84"/>
        <v>0</v>
      </c>
      <c r="AQ43" s="16">
        <f t="shared" si="85"/>
        <v>0</v>
      </c>
      <c r="AR43" s="4" t="s">
        <v>370</v>
      </c>
      <c r="AS43" s="24">
        <v>1195</v>
      </c>
      <c r="AT43" s="24">
        <f t="shared" si="81"/>
        <v>1395</v>
      </c>
      <c r="AU43" s="13">
        <f t="shared" si="20"/>
        <v>0</v>
      </c>
      <c r="AV43" s="17"/>
      <c r="AW43" s="151"/>
      <c r="AX43" s="35">
        <v>0</v>
      </c>
      <c r="AY43" s="35">
        <v>0</v>
      </c>
      <c r="BA43" s="27">
        <f>SUM(BA3:BA40)</f>
        <v>0</v>
      </c>
      <c r="BB43" s="7" t="s">
        <v>204</v>
      </c>
      <c r="BH43" s="25" t="s">
        <v>204</v>
      </c>
      <c r="BI43" s="2">
        <f>SUM(BI41:BI42)</f>
        <v>0</v>
      </c>
      <c r="BJ43" s="49">
        <f>SUM(BJ41:BJ42)</f>
        <v>0</v>
      </c>
      <c r="BK43" s="24" t="s">
        <v>227</v>
      </c>
      <c r="BR43" s="33">
        <f t="shared" si="5"/>
        <v>0</v>
      </c>
      <c r="BS43" s="33">
        <f t="shared" si="22"/>
        <v>0</v>
      </c>
      <c r="BT43" s="2">
        <f t="shared" si="75"/>
        <v>0</v>
      </c>
      <c r="BU43">
        <f t="shared" si="67"/>
        <v>0</v>
      </c>
      <c r="BV43" s="42">
        <f t="shared" si="68"/>
        <v>0</v>
      </c>
      <c r="BW43" s="42">
        <f t="shared" si="60"/>
        <v>0</v>
      </c>
      <c r="BZ43">
        <f t="shared" si="76"/>
        <v>0</v>
      </c>
      <c r="CA43">
        <f t="shared" si="69"/>
        <v>0</v>
      </c>
      <c r="CC43">
        <f t="shared" si="24"/>
        <v>0</v>
      </c>
      <c r="CE43" s="107"/>
      <c r="CF43" s="109"/>
      <c r="CH43" s="133">
        <f>+BI4</f>
        <v>0</v>
      </c>
      <c r="CI43" s="134" t="s">
        <v>147</v>
      </c>
      <c r="CK43" s="131">
        <f t="shared" si="82"/>
        <v>0</v>
      </c>
      <c r="CL43" s="142" t="s">
        <v>104</v>
      </c>
      <c r="CN43" s="120">
        <f>+AO59</f>
        <v>0</v>
      </c>
      <c r="CO43" s="138" t="s">
        <v>377</v>
      </c>
      <c r="CQ43" s="120">
        <f>+BH50</f>
        <v>0</v>
      </c>
      <c r="CR43" s="138" t="s">
        <v>472</v>
      </c>
      <c r="CS43" s="121"/>
      <c r="CU43" s="3"/>
      <c r="CW43" s="120"/>
      <c r="CX43" s="122"/>
      <c r="CZ43" s="121"/>
      <c r="DA43">
        <f t="shared" si="70"/>
        <v>0</v>
      </c>
      <c r="DB43" s="221" t="s">
        <v>370</v>
      </c>
      <c r="DC43" s="165" t="s">
        <v>606</v>
      </c>
      <c r="DD43" t="str">
        <f t="shared" si="71"/>
        <v>LLT313</v>
      </c>
      <c r="DE43" t="e">
        <f t="shared" si="37"/>
        <v>#N/A</v>
      </c>
      <c r="DF43" t="e">
        <f t="shared" si="77"/>
        <v>#N/A</v>
      </c>
      <c r="DG43" t="e">
        <f t="shared" si="78"/>
        <v>#N/A</v>
      </c>
      <c r="DH43" t="e">
        <f t="shared" si="72"/>
        <v>#N/A</v>
      </c>
      <c r="DI43" t="str">
        <f t="shared" si="79"/>
        <v>R</v>
      </c>
      <c r="DJ43" t="str">
        <f t="shared" si="73"/>
        <v xml:space="preserve"> Cstm  </v>
      </c>
      <c r="DK43" s="42" t="e">
        <f t="shared" si="74"/>
        <v>#N/A</v>
      </c>
      <c r="DL43" s="42" t="b">
        <f t="shared" si="80"/>
        <v>1</v>
      </c>
      <c r="DM43" s="121" t="str">
        <f t="shared" si="65"/>
        <v/>
      </c>
      <c r="DR43" s="212"/>
      <c r="DU43" s="39"/>
      <c r="DV43" s="181"/>
      <c r="EG43" s="89" t="s">
        <v>6</v>
      </c>
      <c r="EH43" s="3" t="e">
        <f>HLOOKUP(1,BE4:BJ8,5,FALSE)</f>
        <v>#N/A</v>
      </c>
      <c r="EI43" s="3"/>
      <c r="EJ43" s="89" t="s">
        <v>19</v>
      </c>
      <c r="EK43" s="3" t="e">
        <f>VLOOKUP(1,BN47:BP50,3,FALSE)</f>
        <v>#N/A</v>
      </c>
      <c r="EM43" t="s">
        <v>398</v>
      </c>
    </row>
    <row r="44" spans="1:143" x14ac:dyDescent="0.3">
      <c r="A44" s="396"/>
      <c r="B44" s="234"/>
      <c r="C44" s="74" t="s">
        <v>81</v>
      </c>
      <c r="D44" s="75"/>
      <c r="E44" s="79"/>
      <c r="F44" s="362"/>
      <c r="G44" s="51"/>
      <c r="H44" s="51"/>
      <c r="I44" s="51"/>
      <c r="J44" s="96"/>
      <c r="K44" s="51" t="s">
        <v>203</v>
      </c>
      <c r="L44" s="51"/>
      <c r="M44" s="51"/>
      <c r="N44" s="99"/>
      <c r="O44" s="51" t="s">
        <v>190</v>
      </c>
      <c r="P44" s="53"/>
      <c r="Q44" s="51"/>
      <c r="R44" s="96"/>
      <c r="S44" s="51" t="s">
        <v>196</v>
      </c>
      <c r="T44" s="51"/>
      <c r="U44" s="51"/>
      <c r="V44" s="51"/>
      <c r="W44" s="51"/>
      <c r="X44" s="51"/>
      <c r="Y44" s="51"/>
      <c r="Z44" s="51"/>
      <c r="AA44" s="51"/>
      <c r="AB44" s="51"/>
      <c r="AC44" s="51"/>
      <c r="AD44" s="51"/>
      <c r="AE44" s="51"/>
      <c r="AF44" s="51"/>
      <c r="AG44" s="51"/>
      <c r="AH44" s="3"/>
      <c r="AI44" s="3"/>
      <c r="AJ44" t="str">
        <f t="shared" si="66"/>
        <v/>
      </c>
      <c r="AN44" s="2" t="s">
        <v>213</v>
      </c>
      <c r="AO44" s="9">
        <f t="shared" si="83"/>
        <v>0</v>
      </c>
      <c r="AP44" s="16" t="b">
        <f t="shared" si="84"/>
        <v>0</v>
      </c>
      <c r="AQ44" s="16">
        <f t="shared" si="85"/>
        <v>0</v>
      </c>
      <c r="AR44" s="4" t="s">
        <v>371</v>
      </c>
      <c r="AS44" s="24">
        <v>1195</v>
      </c>
      <c r="AT44" s="24">
        <f t="shared" si="81"/>
        <v>1395</v>
      </c>
      <c r="AU44" s="13">
        <f t="shared" si="20"/>
        <v>0</v>
      </c>
      <c r="AV44" s="17"/>
      <c r="AW44" s="151"/>
      <c r="AX44" s="35">
        <v>0</v>
      </c>
      <c r="AY44" s="35">
        <v>0</v>
      </c>
      <c r="BR44" s="33">
        <f t="shared" si="5"/>
        <v>0</v>
      </c>
      <c r="BS44" s="33">
        <f t="shared" si="22"/>
        <v>0</v>
      </c>
      <c r="BT44" s="2">
        <f t="shared" si="75"/>
        <v>0</v>
      </c>
      <c r="BU44">
        <f t="shared" si="67"/>
        <v>0</v>
      </c>
      <c r="BV44" s="42">
        <f t="shared" si="68"/>
        <v>0</v>
      </c>
      <c r="BW44" s="42">
        <f t="shared" si="60"/>
        <v>0</v>
      </c>
      <c r="BZ44">
        <f t="shared" si="76"/>
        <v>0</v>
      </c>
      <c r="CA44">
        <f t="shared" si="69"/>
        <v>0</v>
      </c>
      <c r="CC44">
        <f t="shared" si="24"/>
        <v>0</v>
      </c>
      <c r="CE44" s="107">
        <f>IF(CE42*CE35&gt;0,1,0)</f>
        <v>0</v>
      </c>
      <c r="CF44" s="109" t="s">
        <v>439</v>
      </c>
      <c r="CH44" s="133">
        <f>SUM(BL11:BL12,BL16)</f>
        <v>0</v>
      </c>
      <c r="CI44" s="134" t="s">
        <v>427</v>
      </c>
      <c r="CK44" s="131">
        <f t="shared" si="82"/>
        <v>0</v>
      </c>
      <c r="CL44" s="142" t="s">
        <v>103</v>
      </c>
      <c r="CN44" s="120">
        <f>+AO60</f>
        <v>0</v>
      </c>
      <c r="CO44" s="138" t="s">
        <v>378</v>
      </c>
      <c r="CQ44" s="120"/>
      <c r="CR44" s="122"/>
      <c r="CS44" s="121"/>
      <c r="CU44" s="3"/>
      <c r="CW44" s="120">
        <f>+BL38</f>
        <v>0</v>
      </c>
      <c r="CX44" s="122" t="s">
        <v>579</v>
      </c>
      <c r="CZ44" s="121"/>
      <c r="DA44">
        <f t="shared" si="70"/>
        <v>0</v>
      </c>
      <c r="DB44" s="221" t="s">
        <v>371</v>
      </c>
      <c r="DC44" s="165" t="s">
        <v>607</v>
      </c>
      <c r="DD44" t="str">
        <f t="shared" si="71"/>
        <v>LLT323</v>
      </c>
      <c r="DE44" t="e">
        <f t="shared" si="37"/>
        <v>#N/A</v>
      </c>
      <c r="DF44" t="e">
        <f t="shared" si="77"/>
        <v>#N/A</v>
      </c>
      <c r="DG44" t="e">
        <f t="shared" si="78"/>
        <v>#N/A</v>
      </c>
      <c r="DH44" t="e">
        <f t="shared" si="72"/>
        <v>#N/A</v>
      </c>
      <c r="DI44" t="str">
        <f t="shared" si="79"/>
        <v>R</v>
      </c>
      <c r="DJ44" t="str">
        <f t="shared" si="73"/>
        <v xml:space="preserve"> Cstm  </v>
      </c>
      <c r="DK44" s="42" t="e">
        <f t="shared" si="74"/>
        <v>#N/A</v>
      </c>
      <c r="DL44" s="42" t="b">
        <f t="shared" si="80"/>
        <v>1</v>
      </c>
      <c r="DM44" s="121" t="str">
        <f t="shared" si="65"/>
        <v/>
      </c>
      <c r="DR44" s="212" t="s">
        <v>940</v>
      </c>
      <c r="DT44" t="s">
        <v>656</v>
      </c>
      <c r="DU44" s="39">
        <v>25</v>
      </c>
      <c r="DV44" s="181" t="s">
        <v>973</v>
      </c>
      <c r="EG44" s="89" t="s">
        <v>149</v>
      </c>
      <c r="EH44" s="3" t="str">
        <f>IF(BD16=1,"Brass Plated","Chrome Plated")</f>
        <v>Chrome Plated</v>
      </c>
      <c r="EI44" s="3"/>
      <c r="EJ44" s="89" t="s">
        <v>22</v>
      </c>
      <c r="EK44" s="3" t="e">
        <f>VLOOKUP(1,BI41:BK42,3,FALSE)</f>
        <v>#N/A</v>
      </c>
      <c r="EM44" t="s">
        <v>398</v>
      </c>
    </row>
    <row r="45" spans="1:143" x14ac:dyDescent="0.3">
      <c r="A45" s="396"/>
      <c r="B45" s="234"/>
      <c r="C45" s="74" t="s">
        <v>82</v>
      </c>
      <c r="D45" s="75"/>
      <c r="E45" s="79"/>
      <c r="F45" s="362"/>
      <c r="G45" s="51"/>
      <c r="H45" s="51"/>
      <c r="I45" s="51"/>
      <c r="J45" s="96"/>
      <c r="K45" s="54" t="s">
        <v>508</v>
      </c>
      <c r="L45" s="51"/>
      <c r="M45" s="51"/>
      <c r="N45" s="99"/>
      <c r="O45" s="51" t="s">
        <v>191</v>
      </c>
      <c r="P45" s="53"/>
      <c r="Q45" s="51"/>
      <c r="R45" s="348"/>
      <c r="S45" s="51"/>
      <c r="T45" s="51"/>
      <c r="U45" s="51"/>
      <c r="V45" s="51"/>
      <c r="W45" s="51"/>
      <c r="X45" s="51"/>
      <c r="Y45" s="51"/>
      <c r="Z45" s="51"/>
      <c r="AA45" s="51"/>
      <c r="AB45" s="51"/>
      <c r="AC45" s="51"/>
      <c r="AD45" s="51"/>
      <c r="AE45" s="51"/>
      <c r="AF45" s="51"/>
      <c r="AG45" s="51"/>
      <c r="AH45" s="38"/>
      <c r="AJ45" t="str">
        <f t="shared" si="66"/>
        <v/>
      </c>
      <c r="AN45" s="2" t="s">
        <v>213</v>
      </c>
      <c r="AO45" s="9">
        <f t="shared" si="83"/>
        <v>0</v>
      </c>
      <c r="AP45" s="16" t="b">
        <f t="shared" si="84"/>
        <v>0</v>
      </c>
      <c r="AQ45" s="16">
        <f t="shared" si="85"/>
        <v>0</v>
      </c>
      <c r="AR45" s="4" t="s">
        <v>372</v>
      </c>
      <c r="AS45" s="24">
        <v>1315</v>
      </c>
      <c r="AT45" s="24">
        <f t="shared" si="81"/>
        <v>1515</v>
      </c>
      <c r="AU45" s="13">
        <f t="shared" si="20"/>
        <v>0</v>
      </c>
      <c r="AV45" s="17"/>
      <c r="AW45" s="151"/>
      <c r="AX45" s="35">
        <v>0</v>
      </c>
      <c r="AY45" s="35">
        <v>0</v>
      </c>
      <c r="BD45" s="3"/>
      <c r="BE45" s="3"/>
      <c r="BF45" s="3"/>
      <c r="BG45" s="3"/>
      <c r="BH45" s="14" t="s">
        <v>188</v>
      </c>
      <c r="BK45" s="3"/>
      <c r="BN45" s="3"/>
      <c r="BO45" s="3"/>
      <c r="BR45" s="33">
        <f t="shared" si="5"/>
        <v>0</v>
      </c>
      <c r="BS45" s="33">
        <f t="shared" si="22"/>
        <v>0</v>
      </c>
      <c r="BT45" s="2">
        <f t="shared" si="75"/>
        <v>0</v>
      </c>
      <c r="BU45">
        <f t="shared" si="67"/>
        <v>0</v>
      </c>
      <c r="BV45" s="42">
        <f t="shared" si="68"/>
        <v>0</v>
      </c>
      <c r="BW45" s="42">
        <f t="shared" si="60"/>
        <v>0</v>
      </c>
      <c r="BZ45">
        <f t="shared" si="76"/>
        <v>0</v>
      </c>
      <c r="CA45">
        <f t="shared" si="69"/>
        <v>0</v>
      </c>
      <c r="CC45">
        <f t="shared" si="24"/>
        <v>0</v>
      </c>
      <c r="CH45" s="131">
        <f>+BH11+BH12</f>
        <v>0</v>
      </c>
      <c r="CI45" s="134" t="s">
        <v>428</v>
      </c>
      <c r="CK45" s="131">
        <f t="shared" si="82"/>
        <v>0</v>
      </c>
      <c r="CL45" s="142" t="s">
        <v>108</v>
      </c>
      <c r="CN45" s="120">
        <f>+AO61</f>
        <v>0</v>
      </c>
      <c r="CO45" s="138" t="s">
        <v>379</v>
      </c>
      <c r="CQ45" s="120">
        <f>+AO57</f>
        <v>0</v>
      </c>
      <c r="CR45" s="138" t="s">
        <v>375</v>
      </c>
      <c r="CS45" s="121"/>
      <c r="CT45" s="118" t="s">
        <v>991</v>
      </c>
      <c r="CU45" s="141"/>
      <c r="CW45" s="120">
        <f>+BG6</f>
        <v>0</v>
      </c>
      <c r="CX45" s="122" t="s">
        <v>580</v>
      </c>
      <c r="CZ45" s="121"/>
      <c r="DA45">
        <f t="shared" si="70"/>
        <v>0</v>
      </c>
      <c r="DB45" s="221" t="s">
        <v>372</v>
      </c>
      <c r="DC45" s="165" t="s">
        <v>588</v>
      </c>
      <c r="DD45" t="str">
        <f t="shared" si="71"/>
        <v>LLT304</v>
      </c>
      <c r="DE45" t="e">
        <f t="shared" si="37"/>
        <v>#N/A</v>
      </c>
      <c r="DF45" t="e">
        <f t="shared" si="77"/>
        <v>#N/A</v>
      </c>
      <c r="DG45" t="e">
        <f t="shared" si="78"/>
        <v>#N/A</v>
      </c>
      <c r="DH45" t="e">
        <f t="shared" si="72"/>
        <v>#N/A</v>
      </c>
      <c r="DI45" t="str">
        <f t="shared" si="79"/>
        <v>R</v>
      </c>
      <c r="DJ45" t="str">
        <f t="shared" si="73"/>
        <v xml:space="preserve"> Cstm  </v>
      </c>
      <c r="DK45" s="42" t="e">
        <f t="shared" si="74"/>
        <v>#N/A</v>
      </c>
      <c r="DL45" s="42" t="b">
        <f t="shared" si="80"/>
        <v>1</v>
      </c>
      <c r="DM45" s="121" t="str">
        <f t="shared" si="65"/>
        <v/>
      </c>
      <c r="DR45" s="212"/>
      <c r="DU45" s="39"/>
      <c r="DV45" s="181"/>
      <c r="EG45" s="89" t="s">
        <v>17</v>
      </c>
      <c r="EH45" s="3" t="e">
        <f>VLOOKUP(1,BM55:BO56,3,FALSE)</f>
        <v>#N/A</v>
      </c>
      <c r="EI45" s="3"/>
      <c r="EJ45" s="89" t="s">
        <v>23</v>
      </c>
      <c r="EK45" s="3" t="e">
        <f>VLOOKUP(1,BD62:BE63,2,FALSE)</f>
        <v>#N/A</v>
      </c>
      <c r="EM45" t="s">
        <v>398</v>
      </c>
    </row>
    <row r="46" spans="1:143" ht="15" thickBot="1" x14ac:dyDescent="0.35">
      <c r="A46" s="396"/>
      <c r="B46" s="234"/>
      <c r="C46" s="74" t="s">
        <v>83</v>
      </c>
      <c r="D46" s="75"/>
      <c r="E46" s="79"/>
      <c r="F46" s="362"/>
      <c r="G46" s="51"/>
      <c r="H46" s="51"/>
      <c r="I46" s="51"/>
      <c r="J46" s="147" t="s">
        <v>485</v>
      </c>
      <c r="K46" s="51"/>
      <c r="L46" s="51"/>
      <c r="M46" s="51"/>
      <c r="N46" s="349"/>
      <c r="O46" s="51"/>
      <c r="P46" s="53"/>
      <c r="Q46" s="51"/>
      <c r="R46" s="331"/>
      <c r="S46" s="51"/>
      <c r="T46" s="51"/>
      <c r="U46" s="51"/>
      <c r="V46" s="51"/>
      <c r="W46" s="51"/>
      <c r="X46" s="51"/>
      <c r="Y46" s="51"/>
      <c r="Z46" s="51"/>
      <c r="AA46" s="51"/>
      <c r="AB46" s="51"/>
      <c r="AC46" s="51"/>
      <c r="AD46" s="51"/>
      <c r="AE46" s="51"/>
      <c r="AF46" s="51"/>
      <c r="AG46" s="51"/>
      <c r="AH46" s="335"/>
      <c r="AJ46" t="str">
        <f t="shared" si="66"/>
        <v/>
      </c>
      <c r="AN46" s="2" t="s">
        <v>213</v>
      </c>
      <c r="AO46" s="9">
        <f t="shared" si="83"/>
        <v>0</v>
      </c>
      <c r="AP46" s="16" t="b">
        <f t="shared" si="84"/>
        <v>0</v>
      </c>
      <c r="AQ46" s="16">
        <f t="shared" si="85"/>
        <v>0</v>
      </c>
      <c r="AR46" s="4" t="s">
        <v>373</v>
      </c>
      <c r="AS46" s="24">
        <v>1315</v>
      </c>
      <c r="AT46" s="24">
        <f t="shared" si="81"/>
        <v>1515</v>
      </c>
      <c r="AU46" s="13">
        <f t="shared" si="20"/>
        <v>0</v>
      </c>
      <c r="AV46" s="17"/>
      <c r="AW46" s="151"/>
      <c r="AX46" s="35">
        <v>0</v>
      </c>
      <c r="AY46" s="35">
        <v>0</v>
      </c>
      <c r="BD46" s="3"/>
      <c r="BE46" s="3"/>
      <c r="BF46" s="3"/>
      <c r="BG46" s="3"/>
      <c r="BH46" s="15">
        <f>IF(N43="",0,1)</f>
        <v>0</v>
      </c>
      <c r="BI46" s="36">
        <f>+BH46*0</f>
        <v>0</v>
      </c>
      <c r="BJ46" s="3" t="s">
        <v>189</v>
      </c>
      <c r="BL46" s="3"/>
      <c r="BM46" s="3"/>
      <c r="BN46" s="14" t="s">
        <v>194</v>
      </c>
      <c r="BO46" s="3"/>
      <c r="BR46" s="33">
        <f t="shared" si="5"/>
        <v>0</v>
      </c>
      <c r="BS46" s="33">
        <f t="shared" si="22"/>
        <v>0</v>
      </c>
      <c r="BT46" s="2">
        <f t="shared" si="75"/>
        <v>0</v>
      </c>
      <c r="BU46">
        <f t="shared" si="67"/>
        <v>0</v>
      </c>
      <c r="BV46" s="42">
        <f t="shared" si="68"/>
        <v>0</v>
      </c>
      <c r="BW46" s="42">
        <f t="shared" si="60"/>
        <v>0</v>
      </c>
      <c r="BZ46">
        <f t="shared" si="76"/>
        <v>0</v>
      </c>
      <c r="CA46">
        <f t="shared" si="69"/>
        <v>0</v>
      </c>
      <c r="CC46">
        <f t="shared" si="24"/>
        <v>0</v>
      </c>
      <c r="CE46" s="108">
        <f>IF(OR(CE17=1,CE29=1,CE44=1) = TRUE,1,0)</f>
        <v>0</v>
      </c>
      <c r="CF46" s="110" t="s">
        <v>417</v>
      </c>
      <c r="CH46" s="131">
        <f>+BD11</f>
        <v>0</v>
      </c>
      <c r="CI46" s="134" t="s">
        <v>179</v>
      </c>
      <c r="CK46" s="131">
        <f t="shared" si="82"/>
        <v>0</v>
      </c>
      <c r="CL46" s="142" t="s">
        <v>1254</v>
      </c>
      <c r="CN46" s="120">
        <f>+AO64</f>
        <v>0</v>
      </c>
      <c r="CO46" s="138" t="s">
        <v>382</v>
      </c>
      <c r="CQ46" s="120">
        <f>+AO58</f>
        <v>0</v>
      </c>
      <c r="CR46" s="138" t="s">
        <v>376</v>
      </c>
      <c r="CS46" s="121"/>
      <c r="CT46" s="120"/>
      <c r="CU46" s="138"/>
      <c r="CW46" s="123">
        <f>+CW45+CW44</f>
        <v>0</v>
      </c>
      <c r="CX46" s="139" t="s">
        <v>583</v>
      </c>
      <c r="CZ46" s="121"/>
      <c r="DA46">
        <f t="shared" si="70"/>
        <v>0</v>
      </c>
      <c r="DB46" s="221" t="s">
        <v>373</v>
      </c>
      <c r="DC46" s="165" t="s">
        <v>608</v>
      </c>
      <c r="DD46" t="str">
        <f t="shared" si="71"/>
        <v>LLT314</v>
      </c>
      <c r="DE46" t="e">
        <f t="shared" si="37"/>
        <v>#N/A</v>
      </c>
      <c r="DF46" t="e">
        <f t="shared" si="77"/>
        <v>#N/A</v>
      </c>
      <c r="DG46" t="e">
        <f t="shared" si="78"/>
        <v>#N/A</v>
      </c>
      <c r="DH46" t="e">
        <f t="shared" si="72"/>
        <v>#N/A</v>
      </c>
      <c r="DI46" t="str">
        <f t="shared" si="79"/>
        <v>R</v>
      </c>
      <c r="DJ46" t="str">
        <f t="shared" si="73"/>
        <v xml:space="preserve"> Cstm  </v>
      </c>
      <c r="DK46" s="42" t="e">
        <f t="shared" ref="DK46:DK56" si="86">IF($CQ$8=1,CONCATENATE(DE46,DF46,DG46,DH46,DI46,DJ46),CONCATENATE(DE46,DF46,DG46,DH46,DJ46))</f>
        <v>#N/A</v>
      </c>
      <c r="DL46" s="42" t="b">
        <f t="shared" si="80"/>
        <v>1</v>
      </c>
      <c r="DM46" s="121" t="str">
        <f t="shared" si="65"/>
        <v/>
      </c>
      <c r="DR46" s="212"/>
      <c r="DT46" s="192" t="s">
        <v>188</v>
      </c>
      <c r="DU46" s="39"/>
      <c r="DV46" s="181"/>
      <c r="EG46" s="3"/>
      <c r="EH46" s="3"/>
      <c r="EI46" s="3"/>
      <c r="EJ46" s="89" t="s">
        <v>25</v>
      </c>
      <c r="EK46" s="3" t="e">
        <f>+EK15</f>
        <v>#N/A</v>
      </c>
      <c r="EM46" t="s">
        <v>398</v>
      </c>
    </row>
    <row r="47" spans="1:143" x14ac:dyDescent="0.3">
      <c r="A47" s="396"/>
      <c r="B47" s="234"/>
      <c r="C47" s="74" t="s">
        <v>84</v>
      </c>
      <c r="D47" s="75"/>
      <c r="E47" s="79"/>
      <c r="F47" s="362"/>
      <c r="G47" s="51"/>
      <c r="H47" s="51"/>
      <c r="I47" s="51"/>
      <c r="J47" s="51"/>
      <c r="K47" s="51"/>
      <c r="L47" s="51"/>
      <c r="M47" s="51"/>
      <c r="N47" s="334"/>
      <c r="O47" s="51"/>
      <c r="P47" s="51"/>
      <c r="Q47" s="112" t="s">
        <v>493</v>
      </c>
      <c r="R47" s="149"/>
      <c r="S47" s="149"/>
      <c r="T47" s="51"/>
      <c r="U47" s="51"/>
      <c r="V47" s="51"/>
      <c r="W47" s="51"/>
      <c r="X47" s="51"/>
      <c r="Y47" s="51"/>
      <c r="Z47" s="51"/>
      <c r="AA47" s="51"/>
      <c r="AB47" s="51"/>
      <c r="AC47" s="51"/>
      <c r="AD47" s="51"/>
      <c r="AE47" s="51"/>
      <c r="AF47" s="51"/>
      <c r="AG47" s="51"/>
      <c r="AH47" s="38"/>
      <c r="AJ47" t="str">
        <f t="shared" si="66"/>
        <v/>
      </c>
      <c r="AN47" s="2" t="s">
        <v>213</v>
      </c>
      <c r="AO47" s="9">
        <f t="shared" si="83"/>
        <v>0</v>
      </c>
      <c r="AP47" s="16" t="b">
        <f t="shared" si="84"/>
        <v>0</v>
      </c>
      <c r="AQ47" s="16">
        <f t="shared" si="85"/>
        <v>0</v>
      </c>
      <c r="AR47" s="4" t="s">
        <v>349</v>
      </c>
      <c r="AS47" s="24">
        <v>1315</v>
      </c>
      <c r="AT47" s="24">
        <f t="shared" si="81"/>
        <v>1515</v>
      </c>
      <c r="AU47" s="13">
        <f t="shared" si="20"/>
        <v>0</v>
      </c>
      <c r="AV47" s="17"/>
      <c r="AW47" s="151"/>
      <c r="AX47" s="35">
        <v>0</v>
      </c>
      <c r="AY47" s="35">
        <v>0</v>
      </c>
      <c r="BD47" s="3"/>
      <c r="BE47" s="3"/>
      <c r="BF47" s="3"/>
      <c r="BG47" s="3"/>
      <c r="BH47" s="15">
        <f>IF(N44="",0,1)</f>
        <v>0</v>
      </c>
      <c r="BI47" s="36">
        <f>+BH47*DU47</f>
        <v>0</v>
      </c>
      <c r="BJ47" s="3" t="s">
        <v>190</v>
      </c>
      <c r="BL47" s="3"/>
      <c r="BM47" s="3"/>
      <c r="BN47" s="15">
        <f>IF(R43="",0,1)</f>
        <v>0</v>
      </c>
      <c r="BO47" s="39">
        <f>+BN47*0</f>
        <v>0</v>
      </c>
      <c r="BP47" s="3" t="s">
        <v>195</v>
      </c>
      <c r="BR47" s="33">
        <f t="shared" si="5"/>
        <v>0</v>
      </c>
      <c r="BS47" s="33">
        <f t="shared" si="22"/>
        <v>0</v>
      </c>
      <c r="BT47" s="2">
        <f t="shared" si="75"/>
        <v>0</v>
      </c>
      <c r="BU47">
        <f t="shared" si="67"/>
        <v>0</v>
      </c>
      <c r="BV47" s="42">
        <f t="shared" si="68"/>
        <v>0</v>
      </c>
      <c r="BW47" s="42">
        <f t="shared" si="60"/>
        <v>0</v>
      </c>
      <c r="BZ47">
        <f t="shared" si="76"/>
        <v>0</v>
      </c>
      <c r="CA47">
        <f t="shared" si="69"/>
        <v>0</v>
      </c>
      <c r="CC47">
        <f t="shared" si="24"/>
        <v>0</v>
      </c>
      <c r="CH47" s="131"/>
      <c r="CI47" s="134" t="s">
        <v>1228</v>
      </c>
      <c r="CK47" s="131">
        <f t="shared" si="82"/>
        <v>0</v>
      </c>
      <c r="CL47" s="371" t="s">
        <v>1246</v>
      </c>
      <c r="CN47" s="120">
        <f>SUM(CN41:CN46)</f>
        <v>0</v>
      </c>
      <c r="CO47" s="138" t="s">
        <v>449</v>
      </c>
      <c r="CQ47" s="120">
        <f>+AO59</f>
        <v>0</v>
      </c>
      <c r="CR47" s="138" t="s">
        <v>377</v>
      </c>
      <c r="CS47" s="121"/>
      <c r="CT47" s="120">
        <f>+AX82</f>
        <v>0</v>
      </c>
      <c r="CU47" s="138" t="s">
        <v>509</v>
      </c>
      <c r="CW47" s="120"/>
      <c r="CX47" s="122"/>
      <c r="CZ47" s="121"/>
      <c r="DA47">
        <f t="shared" si="70"/>
        <v>0</v>
      </c>
      <c r="DB47" s="221" t="s">
        <v>349</v>
      </c>
      <c r="DC47" s="165" t="s">
        <v>591</v>
      </c>
      <c r="DD47" t="str">
        <f t="shared" si="71"/>
        <v>LLT324</v>
      </c>
      <c r="DE47" t="e">
        <f t="shared" si="37"/>
        <v>#N/A</v>
      </c>
      <c r="DF47" t="e">
        <f t="shared" si="77"/>
        <v>#N/A</v>
      </c>
      <c r="DG47" t="e">
        <f t="shared" si="78"/>
        <v>#N/A</v>
      </c>
      <c r="DH47" t="e">
        <f t="shared" si="72"/>
        <v>#N/A</v>
      </c>
      <c r="DI47" t="str">
        <f t="shared" si="79"/>
        <v>R</v>
      </c>
      <c r="DJ47" t="str">
        <f t="shared" si="73"/>
        <v xml:space="preserve"> Cstm  </v>
      </c>
      <c r="DK47" s="42" t="e">
        <f t="shared" si="86"/>
        <v>#N/A</v>
      </c>
      <c r="DL47" s="42" t="b">
        <f t="shared" si="80"/>
        <v>1</v>
      </c>
      <c r="DM47" s="121" t="str">
        <f t="shared" si="65"/>
        <v/>
      </c>
      <c r="DR47" s="212" t="s">
        <v>941</v>
      </c>
      <c r="DT47" t="s">
        <v>190</v>
      </c>
      <c r="DU47" s="39">
        <v>45</v>
      </c>
      <c r="DV47" s="181" t="s">
        <v>974</v>
      </c>
      <c r="EM47" t="s">
        <v>398</v>
      </c>
    </row>
    <row r="48" spans="1:143" x14ac:dyDescent="0.3">
      <c r="A48" s="396"/>
      <c r="B48" s="234"/>
      <c r="C48" s="74" t="s">
        <v>85</v>
      </c>
      <c r="D48" s="75"/>
      <c r="E48" s="79"/>
      <c r="F48" s="362"/>
      <c r="G48" s="51"/>
      <c r="H48" s="51"/>
      <c r="I48" s="51"/>
      <c r="J48" s="170"/>
      <c r="K48" s="170"/>
      <c r="L48" s="170"/>
      <c r="M48" s="170"/>
      <c r="N48" s="343" t="s">
        <v>471</v>
      </c>
      <c r="P48" s="267"/>
      <c r="Q48" s="267"/>
      <c r="R48" s="60" t="s">
        <v>233</v>
      </c>
      <c r="S48" s="53"/>
      <c r="T48" s="53"/>
      <c r="U48" s="53"/>
      <c r="V48" s="53"/>
      <c r="W48" s="53"/>
      <c r="X48" s="53"/>
      <c r="Y48" s="53"/>
      <c r="Z48" s="53"/>
      <c r="AA48" s="53"/>
      <c r="AB48" s="53"/>
      <c r="AC48" s="53"/>
      <c r="AD48" s="53"/>
      <c r="AE48" s="53"/>
      <c r="AF48" s="53"/>
      <c r="AG48" s="53"/>
      <c r="AH48" s="38"/>
      <c r="AJ48" t="str">
        <f t="shared" si="66"/>
        <v/>
      </c>
      <c r="AN48" s="2" t="s">
        <v>213</v>
      </c>
      <c r="AO48" s="9">
        <f t="shared" si="83"/>
        <v>0</v>
      </c>
      <c r="AP48" s="16" t="b">
        <f t="shared" si="84"/>
        <v>0</v>
      </c>
      <c r="AQ48" s="16">
        <f t="shared" si="85"/>
        <v>0</v>
      </c>
      <c r="AR48" s="4" t="s">
        <v>350</v>
      </c>
      <c r="AS48" s="24">
        <v>1315</v>
      </c>
      <c r="AT48" s="24">
        <f t="shared" si="81"/>
        <v>1515</v>
      </c>
      <c r="AU48" s="13">
        <f t="shared" si="20"/>
        <v>0</v>
      </c>
      <c r="AV48" s="17"/>
      <c r="AW48" s="151"/>
      <c r="AX48" s="35">
        <v>0</v>
      </c>
      <c r="AY48" s="35">
        <v>0</v>
      </c>
      <c r="BD48" s="3"/>
      <c r="BE48" s="3"/>
      <c r="BF48" s="3"/>
      <c r="BG48" s="3"/>
      <c r="BH48" s="15">
        <f>IF(N45="",0,1)</f>
        <v>0</v>
      </c>
      <c r="BI48" s="36">
        <f>+BH48*0</f>
        <v>0</v>
      </c>
      <c r="BJ48" s="3" t="s">
        <v>191</v>
      </c>
      <c r="BL48" s="3"/>
      <c r="BM48" s="3"/>
      <c r="BN48" s="15">
        <f>IF(R44="",0,1)</f>
        <v>0</v>
      </c>
      <c r="BO48" s="39">
        <f>BN48*DU51</f>
        <v>0</v>
      </c>
      <c r="BP48" s="3" t="s">
        <v>196</v>
      </c>
      <c r="BR48" s="33">
        <f t="shared" si="5"/>
        <v>0</v>
      </c>
      <c r="BS48" s="33">
        <f t="shared" si="22"/>
        <v>0</v>
      </c>
      <c r="BT48" s="2">
        <f t="shared" si="75"/>
        <v>0</v>
      </c>
      <c r="BU48">
        <f t="shared" si="67"/>
        <v>0</v>
      </c>
      <c r="BV48" s="42">
        <f t="shared" si="68"/>
        <v>0</v>
      </c>
      <c r="BW48" s="42">
        <f t="shared" si="60"/>
        <v>0</v>
      </c>
      <c r="BZ48">
        <f t="shared" si="76"/>
        <v>0</v>
      </c>
      <c r="CA48">
        <f t="shared" si="69"/>
        <v>0</v>
      </c>
      <c r="CC48">
        <f t="shared" si="24"/>
        <v>0</v>
      </c>
      <c r="CH48" s="131">
        <f>SUM(BL26:BL29)</f>
        <v>0</v>
      </c>
      <c r="CI48" s="134" t="s">
        <v>16</v>
      </c>
      <c r="CK48" s="131">
        <f t="shared" si="82"/>
        <v>0</v>
      </c>
      <c r="CL48" s="142" t="s">
        <v>1015</v>
      </c>
      <c r="CN48" s="123">
        <f>+CN47*CN39</f>
        <v>0</v>
      </c>
      <c r="CO48" s="139" t="s">
        <v>444</v>
      </c>
      <c r="CQ48" s="120">
        <f>+AO60</f>
        <v>0</v>
      </c>
      <c r="CR48" s="138" t="s">
        <v>378</v>
      </c>
      <c r="CS48" s="121"/>
      <c r="CT48" s="120"/>
      <c r="CU48" s="122"/>
      <c r="CW48" s="120"/>
      <c r="CX48" s="122"/>
      <c r="CZ48" s="121"/>
      <c r="DA48">
        <f t="shared" si="70"/>
        <v>0</v>
      </c>
      <c r="DB48" s="221" t="s">
        <v>350</v>
      </c>
      <c r="DC48" s="165" t="s">
        <v>592</v>
      </c>
      <c r="DD48" t="str">
        <f t="shared" si="71"/>
        <v>LLT334</v>
      </c>
      <c r="DE48" t="e">
        <f t="shared" si="37"/>
        <v>#N/A</v>
      </c>
      <c r="DF48" t="e">
        <f t="shared" si="77"/>
        <v>#N/A</v>
      </c>
      <c r="DG48" t="e">
        <f t="shared" si="78"/>
        <v>#N/A</v>
      </c>
      <c r="DH48" t="e">
        <f t="shared" si="72"/>
        <v>#N/A</v>
      </c>
      <c r="DI48" t="str">
        <f t="shared" si="79"/>
        <v>R</v>
      </c>
      <c r="DJ48" t="str">
        <f t="shared" si="73"/>
        <v xml:space="preserve"> Cstm  </v>
      </c>
      <c r="DK48" s="42" t="e">
        <f t="shared" si="86"/>
        <v>#N/A</v>
      </c>
      <c r="DL48" s="42" t="b">
        <f t="shared" si="80"/>
        <v>1</v>
      </c>
      <c r="DM48" s="121" t="str">
        <f t="shared" si="65"/>
        <v/>
      </c>
      <c r="DR48" s="212" t="s">
        <v>942</v>
      </c>
      <c r="DT48" t="s">
        <v>192</v>
      </c>
      <c r="DU48" s="39">
        <v>270</v>
      </c>
      <c r="DV48" s="181" t="s">
        <v>975</v>
      </c>
      <c r="EM48" t="s">
        <v>398</v>
      </c>
    </row>
    <row r="49" spans="1:143" x14ac:dyDescent="0.3">
      <c r="A49" s="396"/>
      <c r="B49" s="234"/>
      <c r="C49" s="74" t="s">
        <v>86</v>
      </c>
      <c r="D49" s="75"/>
      <c r="E49" s="79"/>
      <c r="F49" s="331"/>
      <c r="G49" s="51"/>
      <c r="H49" s="51"/>
      <c r="I49" s="51"/>
      <c r="J49" s="170"/>
      <c r="K49" s="361" t="s">
        <v>23</v>
      </c>
      <c r="L49" s="170"/>
      <c r="M49" s="170"/>
      <c r="N49" s="170"/>
      <c r="O49" s="267"/>
      <c r="P49" s="267"/>
      <c r="Q49" s="267"/>
      <c r="R49" s="99"/>
      <c r="S49" s="103" t="s">
        <v>234</v>
      </c>
      <c r="T49" s="53"/>
      <c r="U49" s="53"/>
      <c r="V49" s="53"/>
      <c r="W49" s="53"/>
      <c r="X49" s="53"/>
      <c r="Y49" s="53"/>
      <c r="Z49" s="53"/>
      <c r="AA49" s="53"/>
      <c r="AB49" s="53"/>
      <c r="AC49" s="53"/>
      <c r="AD49" s="53"/>
      <c r="AE49" s="53"/>
      <c r="AF49" s="53"/>
      <c r="AG49" s="53"/>
      <c r="AJ49" t="str">
        <f t="shared" si="66"/>
        <v/>
      </c>
      <c r="AN49" s="2" t="s">
        <v>213</v>
      </c>
      <c r="AO49" s="9">
        <f t="shared" si="83"/>
        <v>0</v>
      </c>
      <c r="AP49" s="16" t="b">
        <f t="shared" si="84"/>
        <v>0</v>
      </c>
      <c r="AQ49" s="16">
        <f t="shared" si="85"/>
        <v>0</v>
      </c>
      <c r="AR49" s="4" t="s">
        <v>351</v>
      </c>
      <c r="AS49" s="24">
        <v>1315</v>
      </c>
      <c r="AT49" s="24">
        <f t="shared" si="81"/>
        <v>1515</v>
      </c>
      <c r="AU49" s="13"/>
      <c r="AV49" s="17"/>
      <c r="AW49" s="151"/>
      <c r="AX49" s="35">
        <v>0</v>
      </c>
      <c r="AY49" s="35">
        <v>0</v>
      </c>
      <c r="BD49" s="3"/>
      <c r="BE49" s="3"/>
      <c r="BF49" s="3"/>
      <c r="BG49" s="3"/>
      <c r="BH49" s="15">
        <f>IF(N46="",0,1)</f>
        <v>0</v>
      </c>
      <c r="BI49" s="36">
        <f>+BH49*DU48</f>
        <v>0</v>
      </c>
      <c r="BJ49" s="3" t="s">
        <v>192</v>
      </c>
      <c r="BL49" s="3"/>
      <c r="BM49" s="3"/>
      <c r="BN49" s="15">
        <f>IF(R45="",0,1)</f>
        <v>0</v>
      </c>
      <c r="BO49" s="39">
        <f>+BN49*0</f>
        <v>0</v>
      </c>
      <c r="BP49" s="3" t="s">
        <v>192</v>
      </c>
      <c r="BR49" s="33">
        <f t="shared" si="5"/>
        <v>0</v>
      </c>
      <c r="BS49" s="33">
        <f t="shared" si="22"/>
        <v>0</v>
      </c>
      <c r="BT49" s="2">
        <f t="shared" si="75"/>
        <v>0</v>
      </c>
      <c r="BU49">
        <f t="shared" si="67"/>
        <v>0</v>
      </c>
      <c r="BV49" s="42">
        <f t="shared" si="68"/>
        <v>0</v>
      </c>
      <c r="BW49" s="42">
        <f t="shared" si="60"/>
        <v>0</v>
      </c>
      <c r="BZ49">
        <f t="shared" si="76"/>
        <v>0</v>
      </c>
      <c r="CA49">
        <f t="shared" si="69"/>
        <v>0</v>
      </c>
      <c r="CC49">
        <f t="shared" si="24"/>
        <v>0</v>
      </c>
      <c r="CE49" s="90" t="s">
        <v>418</v>
      </c>
      <c r="CF49" s="90"/>
      <c r="CH49" s="131">
        <f>+BD39</f>
        <v>0</v>
      </c>
      <c r="CI49" s="134" t="s">
        <v>432</v>
      </c>
      <c r="CK49" s="131">
        <f t="shared" si="82"/>
        <v>0</v>
      </c>
      <c r="CL49" s="142" t="s">
        <v>101</v>
      </c>
      <c r="CN49" s="120"/>
      <c r="CO49" s="138"/>
      <c r="CQ49" s="120">
        <f>+AO61</f>
        <v>0</v>
      </c>
      <c r="CR49" s="138" t="s">
        <v>379</v>
      </c>
      <c r="CS49" s="121"/>
      <c r="CT49" s="120"/>
      <c r="CU49" s="138" t="s">
        <v>510</v>
      </c>
      <c r="CW49" s="120">
        <f>+BD27</f>
        <v>0</v>
      </c>
      <c r="CX49" s="132" t="s">
        <v>1097</v>
      </c>
      <c r="CZ49" s="121"/>
      <c r="DA49">
        <f t="shared" si="70"/>
        <v>0</v>
      </c>
      <c r="DB49" s="221" t="s">
        <v>351</v>
      </c>
      <c r="DC49" s="165" t="s">
        <v>585</v>
      </c>
      <c r="DD49" t="str">
        <f t="shared" si="71"/>
        <v>LLT344</v>
      </c>
      <c r="DE49" t="e">
        <f t="shared" si="37"/>
        <v>#N/A</v>
      </c>
      <c r="DF49" t="e">
        <f t="shared" si="77"/>
        <v>#N/A</v>
      </c>
      <c r="DG49" t="e">
        <f t="shared" si="78"/>
        <v>#N/A</v>
      </c>
      <c r="DH49" t="e">
        <f t="shared" si="72"/>
        <v>#N/A</v>
      </c>
      <c r="DI49" t="str">
        <f t="shared" si="79"/>
        <v>R</v>
      </c>
      <c r="DJ49" t="str">
        <f t="shared" si="73"/>
        <v xml:space="preserve"> Cstm  </v>
      </c>
      <c r="DK49" s="42" t="e">
        <f t="shared" si="86"/>
        <v>#N/A</v>
      </c>
      <c r="DL49" s="42" t="b">
        <f t="shared" si="80"/>
        <v>1</v>
      </c>
      <c r="DM49" s="121" t="str">
        <f t="shared" si="65"/>
        <v/>
      </c>
      <c r="DR49" s="212" t="s">
        <v>943</v>
      </c>
      <c r="DT49" t="s">
        <v>193</v>
      </c>
      <c r="DU49" s="39">
        <v>270</v>
      </c>
      <c r="DV49" s="181" t="s">
        <v>976</v>
      </c>
      <c r="EG49" s="178" t="s">
        <v>623</v>
      </c>
      <c r="EH49" s="32">
        <f>+K1</f>
        <v>0</v>
      </c>
      <c r="EM49" t="s">
        <v>398</v>
      </c>
    </row>
    <row r="50" spans="1:143" x14ac:dyDescent="0.3">
      <c r="A50" s="396"/>
      <c r="B50" s="234"/>
      <c r="C50" s="74" t="s">
        <v>87</v>
      </c>
      <c r="D50" s="75"/>
      <c r="E50" s="79"/>
      <c r="F50" s="331"/>
      <c r="G50" s="51"/>
      <c r="H50" s="51"/>
      <c r="I50" s="51"/>
      <c r="J50" s="334" t="s">
        <v>140</v>
      </c>
      <c r="K50" s="358" t="s">
        <v>26</v>
      </c>
      <c r="L50" s="332" t="s">
        <v>1237</v>
      </c>
      <c r="M50" s="170"/>
      <c r="N50" s="170"/>
      <c r="O50" s="361" t="s">
        <v>24</v>
      </c>
      <c r="P50" s="267"/>
      <c r="Q50" s="267"/>
      <c r="R50" s="99"/>
      <c r="S50" s="63" t="s">
        <v>187</v>
      </c>
      <c r="T50" s="53"/>
      <c r="U50" s="53"/>
      <c r="V50" s="53"/>
      <c r="W50" s="53"/>
      <c r="X50" s="53"/>
      <c r="Y50" s="53"/>
      <c r="Z50" s="53"/>
      <c r="AA50" s="53"/>
      <c r="AB50" s="53"/>
      <c r="AC50" s="53"/>
      <c r="AD50" s="53"/>
      <c r="AE50" s="53"/>
      <c r="AF50" s="53"/>
      <c r="AG50" s="53"/>
      <c r="AJ50" t="str">
        <f t="shared" si="66"/>
        <v/>
      </c>
      <c r="AN50" s="2" t="s">
        <v>213</v>
      </c>
      <c r="AO50" s="9">
        <f t="shared" si="83"/>
        <v>0</v>
      </c>
      <c r="AP50" s="16" t="b">
        <f t="shared" si="84"/>
        <v>0</v>
      </c>
      <c r="AQ50" s="16">
        <f t="shared" si="85"/>
        <v>0</v>
      </c>
      <c r="AR50" s="4" t="s">
        <v>374</v>
      </c>
      <c r="AS50" s="24">
        <v>1375</v>
      </c>
      <c r="AT50" s="24">
        <f t="shared" si="81"/>
        <v>1575</v>
      </c>
      <c r="AU50" s="13"/>
      <c r="AV50" s="17"/>
      <c r="AW50" s="151"/>
      <c r="AX50" s="35">
        <v>0</v>
      </c>
      <c r="AY50" s="35">
        <v>0</v>
      </c>
      <c r="BD50" s="3"/>
      <c r="BE50" s="3"/>
      <c r="BF50" s="3"/>
      <c r="BG50" s="3"/>
      <c r="BH50" s="15">
        <f>IF(N47="",0,1)</f>
        <v>0</v>
      </c>
      <c r="BI50" s="36">
        <f>+BH50*DU49</f>
        <v>0</v>
      </c>
      <c r="BJ50" s="3" t="s">
        <v>193</v>
      </c>
      <c r="BL50" s="3"/>
      <c r="BM50" s="3"/>
      <c r="BN50" s="15">
        <f>IF(R46="",0,1)</f>
        <v>0</v>
      </c>
      <c r="BO50" s="39">
        <f>+BN50*0</f>
        <v>0</v>
      </c>
      <c r="BP50" s="3" t="s">
        <v>193</v>
      </c>
      <c r="BR50" s="33">
        <f t="shared" si="5"/>
        <v>0</v>
      </c>
      <c r="BS50" s="33">
        <f t="shared" si="22"/>
        <v>0</v>
      </c>
      <c r="BT50" s="2">
        <f t="shared" si="75"/>
        <v>0</v>
      </c>
      <c r="BU50">
        <f t="shared" si="67"/>
        <v>0</v>
      </c>
      <c r="BV50" s="42">
        <f t="shared" si="68"/>
        <v>0</v>
      </c>
      <c r="BW50" s="42">
        <f t="shared" si="60"/>
        <v>0</v>
      </c>
      <c r="BZ50">
        <f t="shared" si="76"/>
        <v>0</v>
      </c>
      <c r="CA50">
        <f t="shared" si="69"/>
        <v>0</v>
      </c>
      <c r="CC50">
        <f t="shared" si="24"/>
        <v>0</v>
      </c>
      <c r="CH50" s="131">
        <f>SUM(AZ60:AZ61)</f>
        <v>0</v>
      </c>
      <c r="CI50" s="134" t="s">
        <v>10</v>
      </c>
      <c r="CK50" s="131">
        <f t="shared" si="82"/>
        <v>0</v>
      </c>
      <c r="CL50" s="142" t="s">
        <v>1010</v>
      </c>
      <c r="CN50" s="120"/>
      <c r="CO50" s="122"/>
      <c r="CQ50" s="120">
        <f>+AO63</f>
        <v>0</v>
      </c>
      <c r="CR50" s="138" t="s">
        <v>381</v>
      </c>
      <c r="CS50" s="121"/>
      <c r="CT50" s="120"/>
      <c r="CU50" s="146" t="s">
        <v>484</v>
      </c>
      <c r="CW50" s="120">
        <f>+BG5</f>
        <v>0</v>
      </c>
      <c r="CX50" s="132" t="s">
        <v>1098</v>
      </c>
      <c r="CZ50" s="121"/>
      <c r="DA50">
        <f t="shared" si="70"/>
        <v>0</v>
      </c>
      <c r="DB50" s="221" t="s">
        <v>374</v>
      </c>
      <c r="DC50" s="165" t="s">
        <v>609</v>
      </c>
      <c r="DD50" t="str">
        <f t="shared" si="71"/>
        <v>LLT325</v>
      </c>
      <c r="DE50" t="e">
        <f t="shared" si="37"/>
        <v>#N/A</v>
      </c>
      <c r="DF50" t="e">
        <f t="shared" si="77"/>
        <v>#N/A</v>
      </c>
      <c r="DG50" t="e">
        <f t="shared" si="78"/>
        <v>#N/A</v>
      </c>
      <c r="DH50" t="e">
        <f t="shared" si="72"/>
        <v>#N/A</v>
      </c>
      <c r="DI50" t="str">
        <f t="shared" si="79"/>
        <v>R</v>
      </c>
      <c r="DJ50" t="str">
        <f t="shared" si="73"/>
        <v xml:space="preserve"> Cstm  </v>
      </c>
      <c r="DK50" s="42" t="e">
        <f t="shared" si="86"/>
        <v>#N/A</v>
      </c>
      <c r="DL50" s="42" t="b">
        <f t="shared" si="80"/>
        <v>1</v>
      </c>
      <c r="DM50" s="121" t="str">
        <f t="shared" si="65"/>
        <v/>
      </c>
      <c r="DR50" s="212"/>
      <c r="DU50" s="39"/>
      <c r="DV50" s="181"/>
      <c r="EG50" s="178" t="s">
        <v>5</v>
      </c>
      <c r="EH50" s="179">
        <f>+P1</f>
        <v>0</v>
      </c>
      <c r="EM50" t="s">
        <v>398</v>
      </c>
    </row>
    <row r="51" spans="1:143" ht="15" thickBot="1" x14ac:dyDescent="0.35">
      <c r="A51" s="396"/>
      <c r="B51" s="234"/>
      <c r="C51" s="74" t="s">
        <v>88</v>
      </c>
      <c r="D51" s="75"/>
      <c r="E51" s="79"/>
      <c r="F51" s="331"/>
      <c r="G51" s="51"/>
      <c r="H51" s="64"/>
      <c r="I51" s="51"/>
      <c r="J51" s="332"/>
      <c r="K51" s="334"/>
      <c r="L51" s="332"/>
      <c r="M51" s="170"/>
      <c r="N51" s="334" t="s">
        <v>140</v>
      </c>
      <c r="O51" s="95"/>
      <c r="P51" s="317" t="s">
        <v>1241</v>
      </c>
      <c r="Q51" s="170"/>
      <c r="R51" s="51"/>
      <c r="S51" s="53"/>
      <c r="T51" s="53"/>
      <c r="U51" s="53"/>
      <c r="V51" s="53"/>
      <c r="W51" s="53"/>
      <c r="X51" s="53"/>
      <c r="Y51" s="53"/>
      <c r="Z51" s="53"/>
      <c r="AA51" s="53"/>
      <c r="AB51" s="53"/>
      <c r="AC51" s="53"/>
      <c r="AD51" s="53"/>
      <c r="AE51" s="53"/>
      <c r="AF51" s="53"/>
      <c r="AG51" s="53"/>
      <c r="AJ51" t="str">
        <f t="shared" si="66"/>
        <v/>
      </c>
      <c r="AN51" s="2" t="s">
        <v>213</v>
      </c>
      <c r="AO51" s="9">
        <f t="shared" si="83"/>
        <v>0</v>
      </c>
      <c r="AP51" s="16" t="b">
        <f t="shared" si="84"/>
        <v>0</v>
      </c>
      <c r="AQ51" s="16">
        <f t="shared" si="85"/>
        <v>0</v>
      </c>
      <c r="AR51" s="4" t="s">
        <v>352</v>
      </c>
      <c r="AS51" s="24">
        <v>1375</v>
      </c>
      <c r="AT51" s="24">
        <f t="shared" si="81"/>
        <v>1575</v>
      </c>
      <c r="AU51" s="13"/>
      <c r="AV51" s="17"/>
      <c r="AW51" s="151"/>
      <c r="AX51" s="35">
        <v>0</v>
      </c>
      <c r="AY51" s="35">
        <v>0</v>
      </c>
      <c r="BD51" s="3"/>
      <c r="BE51" s="3"/>
      <c r="BF51" s="3"/>
      <c r="BG51" s="25" t="s">
        <v>204</v>
      </c>
      <c r="BH51">
        <f>SUM(BH46:BH50)</f>
        <v>0</v>
      </c>
      <c r="BI51" s="49">
        <f>SUM(BI46:BI50)</f>
        <v>0</v>
      </c>
      <c r="BJ51" s="50" t="s">
        <v>227</v>
      </c>
      <c r="BM51" s="25" t="s">
        <v>204</v>
      </c>
      <c r="BN51" s="2">
        <f>SUM(BN47:BN50)</f>
        <v>0</v>
      </c>
      <c r="BO51" s="44">
        <f>SUM(BO47:BO50)</f>
        <v>0</v>
      </c>
      <c r="BP51" s="50" t="s">
        <v>227</v>
      </c>
      <c r="BR51" s="33">
        <f t="shared" si="5"/>
        <v>0</v>
      </c>
      <c r="BS51" s="33">
        <f t="shared" si="22"/>
        <v>0</v>
      </c>
      <c r="BT51" s="2">
        <f t="shared" si="75"/>
        <v>0</v>
      </c>
      <c r="BU51">
        <f t="shared" si="67"/>
        <v>0</v>
      </c>
      <c r="BV51" s="42">
        <f t="shared" si="68"/>
        <v>0</v>
      </c>
      <c r="BW51" s="42">
        <f t="shared" si="60"/>
        <v>0</v>
      </c>
      <c r="BZ51">
        <f t="shared" si="76"/>
        <v>0</v>
      </c>
      <c r="CA51">
        <f t="shared" si="69"/>
        <v>0</v>
      </c>
      <c r="CC51">
        <f t="shared" si="24"/>
        <v>0</v>
      </c>
      <c r="CE51" s="104" t="s">
        <v>419</v>
      </c>
      <c r="CF51" s="104"/>
      <c r="CH51" s="131">
        <f>+BL36+BL38</f>
        <v>0</v>
      </c>
      <c r="CI51" s="134" t="s">
        <v>182</v>
      </c>
      <c r="CK51" s="131">
        <f t="shared" si="82"/>
        <v>0</v>
      </c>
      <c r="CL51" s="142" t="s">
        <v>130</v>
      </c>
      <c r="CN51" s="120" t="s">
        <v>457</v>
      </c>
      <c r="CO51" s="122"/>
      <c r="CQ51" s="120">
        <f>+AO64</f>
        <v>0</v>
      </c>
      <c r="CR51" s="138" t="s">
        <v>382</v>
      </c>
      <c r="CS51" s="121"/>
      <c r="CT51" s="123">
        <f>+CT49*CT47</f>
        <v>0</v>
      </c>
      <c r="CU51" s="139" t="s">
        <v>482</v>
      </c>
      <c r="CW51" s="120">
        <f>SUM(CW49:CW50)</f>
        <v>0</v>
      </c>
      <c r="CX51" s="139" t="s">
        <v>583</v>
      </c>
      <c r="CZ51" s="121"/>
      <c r="DA51">
        <f t="shared" si="70"/>
        <v>0</v>
      </c>
      <c r="DB51" s="221" t="s">
        <v>352</v>
      </c>
      <c r="DC51" s="165" t="s">
        <v>593</v>
      </c>
      <c r="DD51" t="str">
        <f t="shared" si="71"/>
        <v>LLT335</v>
      </c>
      <c r="DE51" t="e">
        <f t="shared" si="37"/>
        <v>#N/A</v>
      </c>
      <c r="DF51" t="e">
        <f t="shared" si="77"/>
        <v>#N/A</v>
      </c>
      <c r="DG51" t="e">
        <f t="shared" si="78"/>
        <v>#N/A</v>
      </c>
      <c r="DH51" t="e">
        <f t="shared" si="72"/>
        <v>#N/A</v>
      </c>
      <c r="DI51" t="str">
        <f t="shared" si="79"/>
        <v>R</v>
      </c>
      <c r="DJ51" t="str">
        <f t="shared" si="73"/>
        <v xml:space="preserve"> Cstm  </v>
      </c>
      <c r="DK51" s="42" t="e">
        <f t="shared" si="86"/>
        <v>#N/A</v>
      </c>
      <c r="DL51" s="42" t="b">
        <f t="shared" si="80"/>
        <v>1</v>
      </c>
      <c r="DM51" s="121" t="str">
        <f t="shared" si="65"/>
        <v/>
      </c>
      <c r="DR51" s="212" t="s">
        <v>944</v>
      </c>
      <c r="DT51" t="s">
        <v>196</v>
      </c>
      <c r="DU51" s="39">
        <v>0</v>
      </c>
      <c r="DV51" s="181" t="s">
        <v>977</v>
      </c>
      <c r="EM51" t="s">
        <v>398</v>
      </c>
    </row>
    <row r="52" spans="1:143" ht="15" customHeight="1" x14ac:dyDescent="0.3">
      <c r="A52" s="396"/>
      <c r="B52" s="234"/>
      <c r="C52" s="74" t="s">
        <v>89</v>
      </c>
      <c r="D52" s="75"/>
      <c r="E52" s="79"/>
      <c r="F52" s="331"/>
      <c r="G52" s="51"/>
      <c r="H52" s="64"/>
      <c r="I52" s="51"/>
      <c r="J52" s="334" t="s">
        <v>200</v>
      </c>
      <c r="K52" s="96"/>
      <c r="L52" s="332" t="s">
        <v>1238</v>
      </c>
      <c r="M52" s="170"/>
      <c r="N52" s="332"/>
      <c r="O52" s="95"/>
      <c r="P52" s="317" t="s">
        <v>1242</v>
      </c>
      <c r="Q52" s="170"/>
      <c r="R52" s="51"/>
      <c r="S52" s="53"/>
      <c r="T52" s="53"/>
      <c r="U52" s="53"/>
      <c r="V52" s="53"/>
      <c r="W52" s="53"/>
      <c r="X52" s="53"/>
      <c r="Y52" s="53"/>
      <c r="Z52" s="53"/>
      <c r="AA52" s="53"/>
      <c r="AB52" s="53"/>
      <c r="AC52" s="53"/>
      <c r="AD52" s="53"/>
      <c r="AE52" s="53"/>
      <c r="AF52" s="53"/>
      <c r="AG52" s="53"/>
      <c r="AJ52" t="str">
        <f t="shared" si="66"/>
        <v/>
      </c>
      <c r="AN52" s="2" t="s">
        <v>213</v>
      </c>
      <c r="AO52" s="9">
        <f t="shared" si="83"/>
        <v>0</v>
      </c>
      <c r="AP52" s="16" t="b">
        <f t="shared" si="84"/>
        <v>0</v>
      </c>
      <c r="AQ52" s="16">
        <f t="shared" si="85"/>
        <v>0</v>
      </c>
      <c r="AR52" s="4" t="s">
        <v>353</v>
      </c>
      <c r="AS52" s="24">
        <v>1375</v>
      </c>
      <c r="AT52" s="24">
        <f t="shared" si="81"/>
        <v>1575</v>
      </c>
      <c r="AU52" s="13"/>
      <c r="AV52" s="17"/>
      <c r="AW52" s="151"/>
      <c r="AX52" s="35">
        <v>0</v>
      </c>
      <c r="AY52" s="35">
        <v>0</v>
      </c>
      <c r="BD52" s="3"/>
      <c r="BE52" s="3"/>
      <c r="BF52" s="3"/>
      <c r="BR52" s="33">
        <f t="shared" si="5"/>
        <v>0</v>
      </c>
      <c r="BS52" s="33">
        <f t="shared" si="22"/>
        <v>0</v>
      </c>
      <c r="BT52" s="2">
        <f t="shared" si="75"/>
        <v>0</v>
      </c>
      <c r="BU52">
        <f t="shared" si="67"/>
        <v>0</v>
      </c>
      <c r="BV52" s="42">
        <f t="shared" si="68"/>
        <v>0</v>
      </c>
      <c r="BW52" s="42">
        <f t="shared" si="60"/>
        <v>0</v>
      </c>
      <c r="BZ52">
        <f t="shared" si="76"/>
        <v>0</v>
      </c>
      <c r="CA52">
        <f t="shared" si="69"/>
        <v>0</v>
      </c>
      <c r="CC52">
        <f t="shared" si="24"/>
        <v>0</v>
      </c>
      <c r="CE52" s="90">
        <f>+BL23</f>
        <v>0</v>
      </c>
      <c r="CF52" s="105" t="s">
        <v>173</v>
      </c>
      <c r="CH52" s="131">
        <f>+BM56</f>
        <v>0</v>
      </c>
      <c r="CI52" s="134" t="s">
        <v>433</v>
      </c>
      <c r="CK52" s="131">
        <f t="shared" si="82"/>
        <v>0</v>
      </c>
      <c r="CL52" s="142" t="s">
        <v>126</v>
      </c>
      <c r="CN52" s="120">
        <f>+BJ4</f>
        <v>0</v>
      </c>
      <c r="CO52" s="122" t="s">
        <v>458</v>
      </c>
      <c r="CQ52" s="120">
        <f>SUM(CQ45:CQ51)</f>
        <v>0</v>
      </c>
      <c r="CR52" s="138" t="s">
        <v>469</v>
      </c>
      <c r="CS52" s="121"/>
      <c r="CT52" s="120"/>
      <c r="CU52" s="122"/>
      <c r="CW52" s="125">
        <f>IF(OR(CW51&gt;1,CW46&gt;1,CW42&gt;1),1,0)</f>
        <v>0</v>
      </c>
      <c r="CX52" s="124" t="s">
        <v>1099</v>
      </c>
      <c r="CZ52" s="121"/>
      <c r="DA52">
        <f t="shared" si="70"/>
        <v>0</v>
      </c>
      <c r="DB52" s="221" t="s">
        <v>353</v>
      </c>
      <c r="DC52" s="165" t="s">
        <v>594</v>
      </c>
      <c r="DD52" t="str">
        <f t="shared" si="71"/>
        <v>LLT345</v>
      </c>
      <c r="DE52" t="e">
        <f t="shared" si="37"/>
        <v>#N/A</v>
      </c>
      <c r="DF52" t="e">
        <f t="shared" si="77"/>
        <v>#N/A</v>
      </c>
      <c r="DG52" t="e">
        <f t="shared" si="78"/>
        <v>#N/A</v>
      </c>
      <c r="DH52" t="e">
        <f t="shared" si="72"/>
        <v>#N/A</v>
      </c>
      <c r="DI52" t="str">
        <f t="shared" si="79"/>
        <v>R</v>
      </c>
      <c r="DJ52" t="str">
        <f t="shared" si="73"/>
        <v xml:space="preserve"> Cstm  </v>
      </c>
      <c r="DK52" s="42" t="e">
        <f t="shared" si="86"/>
        <v>#N/A</v>
      </c>
      <c r="DL52" s="42" t="b">
        <f t="shared" si="80"/>
        <v>1</v>
      </c>
      <c r="DM52" s="121" t="str">
        <f t="shared" si="65"/>
        <v/>
      </c>
      <c r="DR52" s="212"/>
      <c r="DU52" s="39"/>
      <c r="DV52" s="181"/>
      <c r="EM52" t="s">
        <v>398</v>
      </c>
    </row>
    <row r="53" spans="1:143" x14ac:dyDescent="0.3">
      <c r="A53" s="396"/>
      <c r="B53" s="234"/>
      <c r="C53" s="184" t="s">
        <v>505</v>
      </c>
      <c r="D53" s="75"/>
      <c r="E53" s="79"/>
      <c r="F53" s="331"/>
      <c r="G53" s="51"/>
      <c r="H53" s="64"/>
      <c r="I53" s="51"/>
      <c r="J53" s="334"/>
      <c r="K53" s="96"/>
      <c r="L53" s="332" t="s">
        <v>1239</v>
      </c>
      <c r="M53" s="170"/>
      <c r="N53" s="332"/>
      <c r="O53" s="95"/>
      <c r="P53" s="317" t="s">
        <v>1243</v>
      </c>
      <c r="Q53" s="170"/>
      <c r="R53" s="51"/>
      <c r="S53" s="51"/>
      <c r="T53" s="53"/>
      <c r="U53" s="53"/>
      <c r="V53" s="53"/>
      <c r="W53" s="53"/>
      <c r="X53" s="53"/>
      <c r="Y53" s="53"/>
      <c r="Z53" s="53"/>
      <c r="AA53" s="53"/>
      <c r="AB53" s="53"/>
      <c r="AC53" s="53"/>
      <c r="AD53" s="53"/>
      <c r="AE53" s="53"/>
      <c r="AF53" s="53"/>
      <c r="AG53" s="53"/>
      <c r="AJ53" t="str">
        <f t="shared" si="66"/>
        <v/>
      </c>
      <c r="AN53" s="2" t="s">
        <v>213</v>
      </c>
      <c r="AO53" s="9">
        <f t="shared" si="83"/>
        <v>0</v>
      </c>
      <c r="AP53" s="16" t="b">
        <f t="shared" si="84"/>
        <v>0</v>
      </c>
      <c r="AQ53" s="16">
        <f t="shared" si="85"/>
        <v>0</v>
      </c>
      <c r="AR53" s="4" t="s">
        <v>354</v>
      </c>
      <c r="AS53" s="24">
        <v>1450</v>
      </c>
      <c r="AT53" s="24">
        <f t="shared" si="81"/>
        <v>1650</v>
      </c>
      <c r="AU53" s="13"/>
      <c r="AV53" s="17"/>
      <c r="AW53" s="151"/>
      <c r="AX53" s="35">
        <v>0</v>
      </c>
      <c r="AY53" s="35">
        <v>0</v>
      </c>
      <c r="BR53" s="33">
        <f t="shared" si="5"/>
        <v>0</v>
      </c>
      <c r="BS53" s="33">
        <f t="shared" si="22"/>
        <v>0</v>
      </c>
      <c r="BT53" s="2">
        <f t="shared" si="75"/>
        <v>0</v>
      </c>
      <c r="BU53">
        <f t="shared" si="67"/>
        <v>0</v>
      </c>
      <c r="BV53" s="42">
        <f t="shared" si="68"/>
        <v>0</v>
      </c>
      <c r="BW53" s="42">
        <f t="shared" si="60"/>
        <v>0</v>
      </c>
      <c r="BZ53">
        <f t="shared" si="76"/>
        <v>0</v>
      </c>
      <c r="CA53">
        <f t="shared" si="69"/>
        <v>0</v>
      </c>
      <c r="CC53">
        <f t="shared" si="24"/>
        <v>0</v>
      </c>
      <c r="CE53" s="90">
        <f>+BL24</f>
        <v>0</v>
      </c>
      <c r="CF53" s="105" t="s">
        <v>174</v>
      </c>
      <c r="CH53" s="131">
        <f>+BI41</f>
        <v>0</v>
      </c>
      <c r="CI53" s="134" t="s">
        <v>434</v>
      </c>
      <c r="CK53" s="131">
        <f t="shared" si="82"/>
        <v>0</v>
      </c>
      <c r="CL53" s="142" t="s">
        <v>106</v>
      </c>
      <c r="CN53" s="120"/>
      <c r="CO53" s="122"/>
      <c r="CQ53" s="120"/>
      <c r="CR53" s="138"/>
      <c r="CS53" s="121"/>
      <c r="CT53" s="120"/>
      <c r="CU53" s="122"/>
      <c r="CZ53" s="121"/>
      <c r="DA53">
        <f t="shared" si="70"/>
        <v>0</v>
      </c>
      <c r="DB53" s="221" t="s">
        <v>354</v>
      </c>
      <c r="DC53" s="165" t="s">
        <v>595</v>
      </c>
      <c r="DD53" t="str">
        <f t="shared" si="71"/>
        <v>LLT336</v>
      </c>
      <c r="DE53" t="e">
        <f t="shared" si="37"/>
        <v>#N/A</v>
      </c>
      <c r="DF53" t="e">
        <f t="shared" si="77"/>
        <v>#N/A</v>
      </c>
      <c r="DG53" t="e">
        <f t="shared" si="78"/>
        <v>#N/A</v>
      </c>
      <c r="DH53" t="e">
        <f t="shared" si="72"/>
        <v>#N/A</v>
      </c>
      <c r="DI53" t="str">
        <f t="shared" si="79"/>
        <v>R</v>
      </c>
      <c r="DJ53" t="str">
        <f t="shared" si="73"/>
        <v xml:space="preserve"> Cstm  </v>
      </c>
      <c r="DK53" s="42" t="e">
        <f t="shared" si="86"/>
        <v>#N/A</v>
      </c>
      <c r="DL53" s="42" t="b">
        <f t="shared" si="80"/>
        <v>1</v>
      </c>
      <c r="DM53" s="121" t="str">
        <f t="shared" si="65"/>
        <v/>
      </c>
      <c r="DR53" s="212" t="s">
        <v>945</v>
      </c>
      <c r="DT53" t="s">
        <v>658</v>
      </c>
      <c r="DU53" s="39">
        <v>85</v>
      </c>
      <c r="DV53" s="181" t="s">
        <v>978</v>
      </c>
      <c r="EM53" t="s">
        <v>398</v>
      </c>
    </row>
    <row r="54" spans="1:143" x14ac:dyDescent="0.3">
      <c r="A54" s="396"/>
      <c r="B54" s="234"/>
      <c r="C54" s="74" t="s">
        <v>90</v>
      </c>
      <c r="D54" s="75"/>
      <c r="E54" s="79"/>
      <c r="F54" s="331"/>
      <c r="G54" s="51"/>
      <c r="H54" s="64"/>
      <c r="I54" s="51"/>
      <c r="J54" s="334"/>
      <c r="K54" s="96"/>
      <c r="L54" s="332" t="s">
        <v>1240</v>
      </c>
      <c r="M54" s="170"/>
      <c r="N54" s="332"/>
      <c r="O54" s="362"/>
      <c r="P54" s="317"/>
      <c r="Q54" s="170"/>
      <c r="R54" s="51"/>
      <c r="S54" s="51"/>
      <c r="T54" s="53"/>
      <c r="U54" s="53"/>
      <c r="V54" s="53"/>
      <c r="W54" s="53"/>
      <c r="X54" s="53"/>
      <c r="Y54" s="53"/>
      <c r="Z54" s="53"/>
      <c r="AA54" s="53"/>
      <c r="AB54" s="53"/>
      <c r="AC54" s="53"/>
      <c r="AD54" s="53"/>
      <c r="AE54" s="53"/>
      <c r="AF54" s="53"/>
      <c r="AG54" s="53"/>
      <c r="AJ54" t="str">
        <f t="shared" si="66"/>
        <v/>
      </c>
      <c r="AN54" s="2" t="s">
        <v>213</v>
      </c>
      <c r="AO54" s="9">
        <f t="shared" si="83"/>
        <v>0</v>
      </c>
      <c r="AP54" s="16" t="b">
        <f t="shared" si="84"/>
        <v>0</v>
      </c>
      <c r="AQ54" s="16">
        <f t="shared" si="85"/>
        <v>0</v>
      </c>
      <c r="AR54" s="4" t="s">
        <v>355</v>
      </c>
      <c r="AS54" s="24">
        <v>1450</v>
      </c>
      <c r="AT54" s="24">
        <f t="shared" si="81"/>
        <v>1650</v>
      </c>
      <c r="AU54" s="13"/>
      <c r="AV54" s="17"/>
      <c r="AW54" s="151"/>
      <c r="AX54" s="35">
        <v>0</v>
      </c>
      <c r="AY54" s="35">
        <v>0</v>
      </c>
      <c r="BC54" s="121"/>
      <c r="BD54" s="121"/>
      <c r="BE54" s="38"/>
      <c r="BM54" s="12" t="s">
        <v>233</v>
      </c>
      <c r="BN54" t="s">
        <v>227</v>
      </c>
      <c r="BR54" s="33">
        <f t="shared" si="5"/>
        <v>0</v>
      </c>
      <c r="BS54" s="33">
        <f t="shared" si="22"/>
        <v>0</v>
      </c>
      <c r="BT54" s="2">
        <f t="shared" si="75"/>
        <v>0</v>
      </c>
      <c r="BU54">
        <f t="shared" si="67"/>
        <v>0</v>
      </c>
      <c r="BV54" s="42">
        <f t="shared" si="68"/>
        <v>0</v>
      </c>
      <c r="BW54" s="42">
        <f t="shared" si="60"/>
        <v>0</v>
      </c>
      <c r="BZ54">
        <f t="shared" si="76"/>
        <v>0</v>
      </c>
      <c r="CA54">
        <f t="shared" si="69"/>
        <v>0</v>
      </c>
      <c r="CC54">
        <f t="shared" si="24"/>
        <v>0</v>
      </c>
      <c r="CE54" s="90">
        <f>+BL25</f>
        <v>0</v>
      </c>
      <c r="CF54" s="105" t="s">
        <v>175</v>
      </c>
      <c r="CH54" s="131">
        <f>SUM(BH46,BH48:BH50)</f>
        <v>0</v>
      </c>
      <c r="CI54" s="134" t="s">
        <v>18</v>
      </c>
      <c r="CK54" s="131">
        <f t="shared" si="82"/>
        <v>0</v>
      </c>
      <c r="CL54" s="142" t="s">
        <v>1247</v>
      </c>
      <c r="CN54" s="120">
        <f>+AO63</f>
        <v>0</v>
      </c>
      <c r="CO54" s="122" t="s">
        <v>381</v>
      </c>
      <c r="CQ54" s="123">
        <f>+CQ52*CQ43</f>
        <v>0</v>
      </c>
      <c r="CR54" s="139" t="s">
        <v>444</v>
      </c>
      <c r="CS54" s="121"/>
      <c r="CT54" s="120"/>
      <c r="CU54" s="122" t="s">
        <v>282</v>
      </c>
      <c r="CW54" s="118"/>
      <c r="CX54" s="119"/>
      <c r="CZ54" s="121"/>
      <c r="DA54">
        <f t="shared" si="70"/>
        <v>0</v>
      </c>
      <c r="DB54" s="221" t="s">
        <v>355</v>
      </c>
      <c r="DC54" s="165" t="s">
        <v>589</v>
      </c>
      <c r="DD54" t="str">
        <f t="shared" si="71"/>
        <v>LLT346</v>
      </c>
      <c r="DE54" t="e">
        <f t="shared" si="37"/>
        <v>#N/A</v>
      </c>
      <c r="DF54" t="e">
        <f t="shared" si="77"/>
        <v>#N/A</v>
      </c>
      <c r="DG54" t="e">
        <f t="shared" si="78"/>
        <v>#N/A</v>
      </c>
      <c r="DH54" t="e">
        <f t="shared" si="72"/>
        <v>#N/A</v>
      </c>
      <c r="DI54" t="str">
        <f t="shared" si="79"/>
        <v>R</v>
      </c>
      <c r="DJ54" t="str">
        <f t="shared" si="73"/>
        <v xml:space="preserve"> Cstm  </v>
      </c>
      <c r="DK54" s="42" t="e">
        <f t="shared" si="86"/>
        <v>#N/A</v>
      </c>
      <c r="DL54" s="42" t="b">
        <f t="shared" si="80"/>
        <v>1</v>
      </c>
      <c r="DM54" s="121" t="str">
        <f t="shared" si="65"/>
        <v/>
      </c>
      <c r="EM54" t="s">
        <v>398</v>
      </c>
    </row>
    <row r="55" spans="1:143" x14ac:dyDescent="0.3">
      <c r="A55" s="396"/>
      <c r="B55" s="234"/>
      <c r="C55" s="184" t="s">
        <v>506</v>
      </c>
      <c r="D55" s="75"/>
      <c r="E55" s="79"/>
      <c r="F55" s="332"/>
      <c r="G55" s="112" t="s">
        <v>441</v>
      </c>
      <c r="H55" s="64"/>
      <c r="I55" s="51"/>
      <c r="J55" s="332"/>
      <c r="K55" s="334"/>
      <c r="L55" s="332"/>
      <c r="M55" s="170"/>
      <c r="N55" s="334" t="s">
        <v>200</v>
      </c>
      <c r="O55" s="364" t="s">
        <v>26</v>
      </c>
      <c r="P55" s="317" t="s">
        <v>1239</v>
      </c>
      <c r="Q55" s="170"/>
      <c r="R55" s="51"/>
      <c r="S55" s="51"/>
      <c r="T55" s="53"/>
      <c r="U55" s="53"/>
      <c r="V55" s="53"/>
      <c r="W55" s="53"/>
      <c r="X55" s="53"/>
      <c r="Y55" s="53"/>
      <c r="Z55" s="53"/>
      <c r="AA55" s="53"/>
      <c r="AB55" s="53"/>
      <c r="AC55" s="53"/>
      <c r="AD55" s="53"/>
      <c r="AE55" s="53"/>
      <c r="AF55" s="53"/>
      <c r="AG55" s="53"/>
      <c r="AJ55" t="str">
        <f t="shared" si="66"/>
        <v/>
      </c>
      <c r="AN55" s="2" t="s">
        <v>213</v>
      </c>
      <c r="AO55" s="9">
        <f t="shared" si="83"/>
        <v>0</v>
      </c>
      <c r="AP55" s="16" t="b">
        <f t="shared" si="84"/>
        <v>0</v>
      </c>
      <c r="AQ55" s="16">
        <f t="shared" si="85"/>
        <v>0</v>
      </c>
      <c r="AR55" s="4" t="s">
        <v>356</v>
      </c>
      <c r="AS55" s="24">
        <v>1450</v>
      </c>
      <c r="AT55" s="24">
        <f t="shared" si="81"/>
        <v>1650</v>
      </c>
      <c r="AU55" s="13">
        <f>SUM(AU3:AU54)</f>
        <v>0</v>
      </c>
      <c r="AV55" s="17"/>
      <c r="AW55" s="151"/>
      <c r="AX55" s="4"/>
      <c r="AY55" s="4"/>
      <c r="BC55" s="6"/>
      <c r="BD55" s="354" t="s">
        <v>23</v>
      </c>
      <c r="BE55" s="151"/>
      <c r="BF55" s="3"/>
      <c r="BG55" s="3"/>
      <c r="BH55" s="3"/>
      <c r="BI55" s="14" t="s">
        <v>24</v>
      </c>
      <c r="BJ55" s="355"/>
      <c r="BM55" s="9">
        <f>IF(R49="",0,1)</f>
        <v>0</v>
      </c>
      <c r="BN55" s="39">
        <f>+BM55*0</f>
        <v>0</v>
      </c>
      <c r="BO55" s="18" t="s">
        <v>234</v>
      </c>
      <c r="BR55" s="33">
        <f t="shared" si="5"/>
        <v>0</v>
      </c>
      <c r="BS55" s="33">
        <f t="shared" si="22"/>
        <v>0</v>
      </c>
      <c r="BT55" s="16">
        <f t="shared" si="75"/>
        <v>0</v>
      </c>
      <c r="BU55">
        <f t="shared" si="67"/>
        <v>0</v>
      </c>
      <c r="BV55" s="30">
        <f t="shared" si="68"/>
        <v>0</v>
      </c>
      <c r="BW55" s="42">
        <f t="shared" si="60"/>
        <v>0</v>
      </c>
      <c r="BX55" s="121"/>
      <c r="BY55" s="121"/>
      <c r="BZ55" s="121">
        <f t="shared" si="76"/>
        <v>0</v>
      </c>
      <c r="CA55">
        <f t="shared" si="69"/>
        <v>0</v>
      </c>
      <c r="CC55">
        <f t="shared" si="24"/>
        <v>0</v>
      </c>
      <c r="CE55" s="90">
        <f>+BL36</f>
        <v>0</v>
      </c>
      <c r="CF55" s="105" t="s">
        <v>184</v>
      </c>
      <c r="CH55" s="131">
        <f>SUM(BN48:BN50)</f>
        <v>0</v>
      </c>
      <c r="CI55" s="134" t="s">
        <v>19</v>
      </c>
      <c r="CK55" s="131">
        <f t="shared" si="82"/>
        <v>0</v>
      </c>
      <c r="CL55" s="142" t="s">
        <v>129</v>
      </c>
      <c r="CN55" s="123">
        <f>+CN54*CN52</f>
        <v>0</v>
      </c>
      <c r="CO55" s="124" t="s">
        <v>452</v>
      </c>
      <c r="CQ55" s="120"/>
      <c r="CR55" s="122"/>
      <c r="CS55" s="121"/>
      <c r="CT55" s="120"/>
      <c r="CU55" s="122"/>
      <c r="CW55" s="120" t="s">
        <v>1164</v>
      </c>
      <c r="CX55" s="122"/>
      <c r="CZ55" s="121"/>
      <c r="DA55">
        <f t="shared" si="70"/>
        <v>0</v>
      </c>
      <c r="DB55" s="221" t="s">
        <v>356</v>
      </c>
      <c r="DC55" s="165" t="s">
        <v>596</v>
      </c>
      <c r="DD55" t="str">
        <f t="shared" si="71"/>
        <v>LLT356</v>
      </c>
      <c r="DE55" t="e">
        <f t="shared" si="37"/>
        <v>#N/A</v>
      </c>
      <c r="DF55" t="e">
        <f t="shared" si="77"/>
        <v>#N/A</v>
      </c>
      <c r="DG55" t="e">
        <f t="shared" si="78"/>
        <v>#N/A</v>
      </c>
      <c r="DH55" t="e">
        <f t="shared" si="72"/>
        <v>#N/A</v>
      </c>
      <c r="DI55" t="str">
        <f t="shared" si="79"/>
        <v>R</v>
      </c>
      <c r="DJ55" t="str">
        <f t="shared" si="73"/>
        <v xml:space="preserve"> Cstm  </v>
      </c>
      <c r="DK55" s="42" t="e">
        <f t="shared" si="86"/>
        <v>#N/A</v>
      </c>
      <c r="DL55" s="42" t="b">
        <f t="shared" si="80"/>
        <v>1</v>
      </c>
      <c r="DM55" s="121" t="str">
        <f t="shared" si="65"/>
        <v/>
      </c>
      <c r="DT55" t="s">
        <v>1155</v>
      </c>
      <c r="DU55" s="39">
        <v>15</v>
      </c>
      <c r="EM55" t="s">
        <v>398</v>
      </c>
    </row>
    <row r="56" spans="1:143" ht="15" thickBot="1" x14ac:dyDescent="0.35">
      <c r="A56" s="397"/>
      <c r="B56" s="234"/>
      <c r="C56" s="76" t="s">
        <v>91</v>
      </c>
      <c r="D56" s="77"/>
      <c r="E56" s="79"/>
      <c r="F56" s="82" t="s">
        <v>133</v>
      </c>
      <c r="G56" s="51"/>
      <c r="H56" s="64"/>
      <c r="I56" s="51"/>
      <c r="J56" s="334" t="s">
        <v>42</v>
      </c>
      <c r="K56" s="99"/>
      <c r="L56" s="359" t="s">
        <v>202</v>
      </c>
      <c r="M56" s="170"/>
      <c r="N56" s="332"/>
      <c r="O56" s="362"/>
      <c r="P56" s="366"/>
      <c r="Q56" s="170"/>
      <c r="R56" s="51"/>
      <c r="S56" s="51"/>
      <c r="T56" s="53"/>
      <c r="U56" s="53"/>
      <c r="V56" s="53"/>
      <c r="W56" s="53"/>
      <c r="X56" s="53"/>
      <c r="Y56" s="53"/>
      <c r="Z56" s="53"/>
      <c r="AA56" s="53"/>
      <c r="AB56" s="53"/>
      <c r="AC56" s="53"/>
      <c r="AD56" s="53"/>
      <c r="AE56" s="53"/>
      <c r="AF56" s="53"/>
      <c r="AG56" s="53"/>
      <c r="AH56" s="32"/>
      <c r="AI56" s="32"/>
      <c r="AJ56" s="32" t="str">
        <f t="shared" si="66"/>
        <v/>
      </c>
      <c r="AK56" s="32"/>
      <c r="AL56" s="32"/>
      <c r="AN56" s="34" t="s">
        <v>213</v>
      </c>
      <c r="AO56" s="9">
        <f t="shared" si="83"/>
        <v>0</v>
      </c>
      <c r="AP56" s="34" t="b">
        <f t="shared" si="84"/>
        <v>0</v>
      </c>
      <c r="AQ56" s="34">
        <f t="shared" si="85"/>
        <v>0</v>
      </c>
      <c r="AR56" s="173" t="s">
        <v>357</v>
      </c>
      <c r="AS56" s="174">
        <v>1450</v>
      </c>
      <c r="AT56" s="174">
        <f t="shared" si="81"/>
        <v>1650</v>
      </c>
      <c r="AV56" s="38"/>
      <c r="AW56" s="151"/>
      <c r="AX56" s="4"/>
      <c r="AY56" s="4"/>
      <c r="BC56" s="20" t="s">
        <v>140</v>
      </c>
      <c r="BD56" s="13">
        <f>IF(K50="",0,1)</f>
        <v>1</v>
      </c>
      <c r="BE56" s="18" t="s">
        <v>1237</v>
      </c>
      <c r="BF56" s="3"/>
      <c r="BG56" s="3"/>
      <c r="BH56" s="4" t="s">
        <v>140</v>
      </c>
      <c r="BI56" s="13">
        <f t="shared" ref="BI56:BI58" si="87">IF(O51="",0,1)</f>
        <v>0</v>
      </c>
      <c r="BJ56" s="19" t="s">
        <v>1241</v>
      </c>
      <c r="BM56" s="9">
        <f>IF(R50="",0,1)</f>
        <v>0</v>
      </c>
      <c r="BN56" s="39">
        <f>+BM56*25</f>
        <v>0</v>
      </c>
      <c r="BO56" s="18" t="s">
        <v>187</v>
      </c>
      <c r="BR56" s="33">
        <f t="shared" si="5"/>
        <v>0</v>
      </c>
      <c r="BS56" s="33">
        <f t="shared" si="22"/>
        <v>0</v>
      </c>
      <c r="BT56" s="34">
        <f t="shared" si="75"/>
        <v>0</v>
      </c>
      <c r="BU56" s="32">
        <f t="shared" si="67"/>
        <v>0</v>
      </c>
      <c r="BV56" s="48">
        <f t="shared" si="68"/>
        <v>0</v>
      </c>
      <c r="BW56" s="46">
        <f t="shared" si="60"/>
        <v>0</v>
      </c>
      <c r="BX56" s="32"/>
      <c r="BY56" s="32"/>
      <c r="BZ56" s="32">
        <f t="shared" si="76"/>
        <v>0</v>
      </c>
      <c r="CA56">
        <f t="shared" si="69"/>
        <v>0</v>
      </c>
      <c r="CC56">
        <f t="shared" si="24"/>
        <v>0</v>
      </c>
      <c r="CE56" s="90">
        <f>SUM(CE52:CE55)</f>
        <v>0</v>
      </c>
      <c r="CF56" s="105" t="s">
        <v>412</v>
      </c>
      <c r="CH56" s="131">
        <f>SUM(CH5:CH55)</f>
        <v>0</v>
      </c>
      <c r="CI56" s="134" t="s">
        <v>429</v>
      </c>
      <c r="CK56" s="131">
        <f t="shared" si="82"/>
        <v>0</v>
      </c>
      <c r="CL56" s="142" t="s">
        <v>1248</v>
      </c>
      <c r="CN56" s="125"/>
      <c r="CO56" s="126"/>
      <c r="CQ56" s="120">
        <f>+BH48</f>
        <v>0</v>
      </c>
      <c r="CR56" s="138" t="s">
        <v>473</v>
      </c>
      <c r="CS56" s="121"/>
      <c r="CT56" s="120"/>
      <c r="CU56" s="122" t="s">
        <v>483</v>
      </c>
      <c r="CW56" s="120"/>
      <c r="CX56" s="122"/>
      <c r="CZ56" s="155"/>
      <c r="DA56" s="155">
        <f t="shared" si="70"/>
        <v>0</v>
      </c>
      <c r="DB56" s="166" t="s">
        <v>357</v>
      </c>
      <c r="DC56" s="167" t="s">
        <v>590</v>
      </c>
      <c r="DD56" s="155" t="str">
        <f t="shared" si="71"/>
        <v>LLT366</v>
      </c>
      <c r="DE56" s="155" t="e">
        <f t="shared" si="37"/>
        <v>#N/A</v>
      </c>
      <c r="DF56" s="155" t="e">
        <f t="shared" si="77"/>
        <v>#N/A</v>
      </c>
      <c r="DG56" s="155" t="e">
        <f t="shared" si="78"/>
        <v>#N/A</v>
      </c>
      <c r="DH56" s="155" t="e">
        <f t="shared" si="72"/>
        <v>#N/A</v>
      </c>
      <c r="DI56" s="155" t="str">
        <f t="shared" si="79"/>
        <v>R</v>
      </c>
      <c r="DJ56" t="str">
        <f t="shared" si="73"/>
        <v xml:space="preserve"> Cstm  </v>
      </c>
      <c r="DK56" s="168" t="e">
        <f t="shared" si="86"/>
        <v>#N/A</v>
      </c>
      <c r="DL56" s="168" t="b">
        <f t="shared" si="80"/>
        <v>1</v>
      </c>
      <c r="DM56" s="155" t="str">
        <f t="shared" si="65"/>
        <v/>
      </c>
      <c r="DN56" s="164" t="str">
        <f>CONCATENATE(DM34,DM35,DM36,DM37,DM38,DM39,DM40,DM41,DM42,DM43,DM44,DM45,DM46,DM47,DM48,DM49,DM50,DM51,DM52,DM53,DM54,DM55,DM56)</f>
        <v/>
      </c>
      <c r="DT56" t="s">
        <v>1207</v>
      </c>
      <c r="DU56" s="39">
        <v>15</v>
      </c>
      <c r="EM56" t="s">
        <v>398</v>
      </c>
    </row>
    <row r="57" spans="1:143" x14ac:dyDescent="0.3">
      <c r="A57" s="395" t="str">
        <f>IF(AZ69=1,"L X S D C U S T O M","L C S D C U S T O M")</f>
        <v>L C S D C U S T O M</v>
      </c>
      <c r="B57" s="234"/>
      <c r="C57" s="72" t="s">
        <v>92</v>
      </c>
      <c r="D57" s="73"/>
      <c r="E57" s="79"/>
      <c r="F57" s="95"/>
      <c r="G57" s="111" t="s">
        <v>1131</v>
      </c>
      <c r="H57" s="64"/>
      <c r="I57" s="51"/>
      <c r="J57" s="332"/>
      <c r="K57" s="99"/>
      <c r="L57" s="332" t="s">
        <v>201</v>
      </c>
      <c r="M57" s="170"/>
      <c r="N57" s="170"/>
      <c r="O57" s="267"/>
      <c r="P57" s="267"/>
      <c r="Q57" s="170"/>
      <c r="R57" s="51"/>
      <c r="S57" s="51"/>
      <c r="T57" s="53"/>
      <c r="U57" s="53"/>
      <c r="V57" s="53"/>
      <c r="W57" s="53"/>
      <c r="X57" s="53"/>
      <c r="Y57" s="53"/>
      <c r="Z57" s="53"/>
      <c r="AA57" s="53"/>
      <c r="AB57" s="53"/>
      <c r="AC57" s="53"/>
      <c r="AD57" s="53"/>
      <c r="AE57" s="53"/>
      <c r="AF57" s="53"/>
      <c r="AG57" s="53"/>
      <c r="AJ57" t="str">
        <f t="shared" si="66"/>
        <v/>
      </c>
      <c r="AN57" s="2" t="s">
        <v>214</v>
      </c>
      <c r="AO57" s="172">
        <f t="shared" si="83"/>
        <v>0</v>
      </c>
      <c r="AP57" s="16" t="b">
        <f t="shared" si="84"/>
        <v>0</v>
      </c>
      <c r="AQ57" s="16">
        <f t="shared" si="85"/>
        <v>0</v>
      </c>
      <c r="AR57" s="20" t="s">
        <v>375</v>
      </c>
      <c r="AS57" s="229">
        <v>902</v>
      </c>
      <c r="AT57" s="24">
        <f t="shared" si="81"/>
        <v>1102</v>
      </c>
      <c r="AV57" s="38"/>
      <c r="AW57" s="151"/>
      <c r="AX57" s="4"/>
      <c r="AY57" s="4"/>
      <c r="BC57" s="6"/>
      <c r="BD57" s="17"/>
      <c r="BE57" s="151"/>
      <c r="BF57" s="3"/>
      <c r="BG57" s="3"/>
      <c r="BH57" s="3"/>
      <c r="BI57" s="13">
        <f t="shared" si="87"/>
        <v>0</v>
      </c>
      <c r="BJ57" s="19" t="s">
        <v>1242</v>
      </c>
      <c r="BL57" s="25" t="s">
        <v>204</v>
      </c>
      <c r="BM57">
        <f>SUM(BM55:BM56)</f>
        <v>0</v>
      </c>
      <c r="BN57" s="44">
        <f>SUM(BN55:BN56)</f>
        <v>0</v>
      </c>
      <c r="BO57" s="24" t="s">
        <v>227</v>
      </c>
      <c r="BR57" s="33">
        <f t="shared" si="5"/>
        <v>0</v>
      </c>
      <c r="BS57" s="33">
        <f t="shared" si="22"/>
        <v>0</v>
      </c>
      <c r="BT57" s="2">
        <f t="shared" ref="BT57:BT65" si="88">+$BS$60</f>
        <v>0</v>
      </c>
      <c r="BU57" s="42">
        <f>+$BL$4</f>
        <v>0</v>
      </c>
      <c r="BV57" s="42">
        <f t="shared" ref="BV57:BV65" si="89">+$BI$51</f>
        <v>0</v>
      </c>
      <c r="BW57" s="42">
        <f t="shared" ref="BW57:BW65" si="90">+$BN$57</f>
        <v>0</v>
      </c>
      <c r="BX57">
        <f t="shared" ref="BX57:BX65" si="91">+$BO$51</f>
        <v>0</v>
      </c>
      <c r="BY57">
        <f t="shared" ref="BY57:BY65" si="92">+$BJ$43</f>
        <v>0</v>
      </c>
      <c r="BZ57">
        <f>IF($BD$16=1,$DU$11,0)</f>
        <v>0</v>
      </c>
      <c r="CA57">
        <f t="shared" ref="CA57:CA65" si="93">$AY$86</f>
        <v>0</v>
      </c>
      <c r="CC57">
        <f t="shared" si="24"/>
        <v>0</v>
      </c>
      <c r="CF57" s="3"/>
      <c r="CH57" s="131"/>
      <c r="CI57" s="132"/>
      <c r="CK57" s="131">
        <f t="shared" si="82"/>
        <v>0</v>
      </c>
      <c r="CL57" s="142" t="s">
        <v>1249</v>
      </c>
      <c r="CN57" s="118"/>
      <c r="CO57" s="119"/>
      <c r="CQ57" s="120"/>
      <c r="CR57" s="122"/>
      <c r="CS57" s="121"/>
      <c r="CT57" s="120"/>
      <c r="CU57" s="146" t="s">
        <v>484</v>
      </c>
      <c r="CW57" s="325">
        <f>AO3</f>
        <v>0</v>
      </c>
      <c r="CX57" s="122" t="s">
        <v>1018</v>
      </c>
      <c r="DA57">
        <f t="shared" si="70"/>
        <v>0</v>
      </c>
      <c r="DB57" s="221" t="s">
        <v>375</v>
      </c>
      <c r="DC57" s="165" t="s">
        <v>610</v>
      </c>
      <c r="DD57" t="str">
        <f>IF($AZ$69=1,CONCATENATE("LLS4",DC57),CONCATENATE("LLS3",DC57))</f>
        <v>LLS362</v>
      </c>
      <c r="DE57" t="e">
        <f t="shared" si="37"/>
        <v>#N/A</v>
      </c>
      <c r="DF57" s="42" t="e">
        <f>IF($BI$42=1,CONCATENATE(VLOOKUP(1,$DA$72:$DB$75,2,FALSE),"D"),CONCATENATE(VLOOKUP(1,$DA$72:$DB$75,2,FALSE),"X"))</f>
        <v>#N/A</v>
      </c>
      <c r="DG57" t="e">
        <f t="shared" ref="DG57" si="94">LEFT(VLOOKUP(1,$AU$3:$AW$54,2,FALSE),2)</f>
        <v>#N/A</v>
      </c>
      <c r="DH57" s="42" t="str">
        <f>IF($BH$47=1,"WM","")</f>
        <v/>
      </c>
      <c r="DI57" s="42" t="str">
        <f>IF($BD$16=1,"B","")</f>
        <v/>
      </c>
      <c r="DJ57" t="s">
        <v>571</v>
      </c>
      <c r="DK57" s="42" t="e">
        <f>CONCATENATE(DE57,DF57,DG57,DH57,DI57,DJ57)</f>
        <v>#N/A</v>
      </c>
      <c r="DL57" s="42" t="b">
        <f t="shared" si="80"/>
        <v>1</v>
      </c>
      <c r="DM57" s="121" t="str">
        <f t="shared" si="65"/>
        <v/>
      </c>
      <c r="DT57" t="s">
        <v>1208</v>
      </c>
      <c r="DU57" s="39">
        <v>0</v>
      </c>
      <c r="EM57" t="s">
        <v>398</v>
      </c>
    </row>
    <row r="58" spans="1:143" ht="15" thickBot="1" x14ac:dyDescent="0.35">
      <c r="A58" s="396"/>
      <c r="B58" s="234"/>
      <c r="C58" s="403" t="s">
        <v>1250</v>
      </c>
      <c r="D58" s="75"/>
      <c r="E58" s="79"/>
      <c r="F58" s="95"/>
      <c r="G58" s="111" t="s">
        <v>1132</v>
      </c>
      <c r="H58" s="51"/>
      <c r="I58" s="51"/>
      <c r="J58" s="170"/>
      <c r="K58" s="170"/>
      <c r="L58" s="170"/>
      <c r="M58" s="170"/>
      <c r="N58" s="334"/>
      <c r="O58" s="170"/>
      <c r="P58" s="317"/>
      <c r="Q58" s="170"/>
      <c r="R58" s="51"/>
      <c r="S58" s="51"/>
      <c r="T58" s="53"/>
      <c r="U58" s="53"/>
      <c r="V58" s="53"/>
      <c r="W58" s="53"/>
      <c r="X58" s="53"/>
      <c r="Y58" s="53"/>
      <c r="Z58" s="53"/>
      <c r="AA58" s="53"/>
      <c r="AB58" s="53"/>
      <c r="AC58" s="53"/>
      <c r="AD58" s="53"/>
      <c r="AE58" s="53"/>
      <c r="AF58" s="53"/>
      <c r="AG58" s="53"/>
      <c r="AJ58" t="str">
        <f t="shared" si="66"/>
        <v/>
      </c>
      <c r="AN58" s="2" t="s">
        <v>214</v>
      </c>
      <c r="AO58" s="9">
        <f t="shared" si="83"/>
        <v>0</v>
      </c>
      <c r="AP58" s="16" t="b">
        <f t="shared" si="84"/>
        <v>0</v>
      </c>
      <c r="AQ58" s="16">
        <f t="shared" si="85"/>
        <v>0</v>
      </c>
      <c r="AR58" s="4"/>
      <c r="AS58" s="24"/>
      <c r="AT58" s="24"/>
      <c r="AV58" s="38"/>
      <c r="AW58" s="19"/>
      <c r="AX58" s="28"/>
      <c r="AY58" s="28"/>
      <c r="AZ58" s="14" t="s">
        <v>168</v>
      </c>
      <c r="BA58" s="11"/>
      <c r="BB58" s="3"/>
      <c r="BC58" s="20" t="s">
        <v>200</v>
      </c>
      <c r="BD58" s="13">
        <f>IF(K52="",0,1)</f>
        <v>0</v>
      </c>
      <c r="BE58" s="18" t="s">
        <v>1238</v>
      </c>
      <c r="BF58" s="3"/>
      <c r="BG58" s="3"/>
      <c r="BH58" s="3"/>
      <c r="BI58" s="13">
        <f t="shared" si="87"/>
        <v>0</v>
      </c>
      <c r="BJ58" s="19" t="s">
        <v>1243</v>
      </c>
      <c r="BR58" s="33">
        <f t="shared" si="5"/>
        <v>0</v>
      </c>
      <c r="BS58" s="33">
        <f t="shared" si="22"/>
        <v>0</v>
      </c>
      <c r="BT58" s="2">
        <f t="shared" si="88"/>
        <v>0</v>
      </c>
      <c r="BU58" s="42">
        <f>+$BL$4</f>
        <v>0</v>
      </c>
      <c r="BV58" s="42">
        <f t="shared" si="89"/>
        <v>0</v>
      </c>
      <c r="BW58" s="42">
        <f t="shared" si="90"/>
        <v>0</v>
      </c>
      <c r="BX58">
        <f t="shared" si="91"/>
        <v>0</v>
      </c>
      <c r="BY58">
        <f t="shared" si="92"/>
        <v>0</v>
      </c>
      <c r="BZ58">
        <f>IF($BD$16=1,$DU$11,0)</f>
        <v>0</v>
      </c>
      <c r="CA58">
        <f t="shared" si="93"/>
        <v>0</v>
      </c>
      <c r="CC58">
        <f t="shared" si="24"/>
        <v>0</v>
      </c>
      <c r="CE58" s="104" t="s">
        <v>420</v>
      </c>
      <c r="CF58" s="106"/>
      <c r="CH58" s="131">
        <f>+BD16</f>
        <v>0</v>
      </c>
      <c r="CI58" s="134" t="s">
        <v>430</v>
      </c>
      <c r="CK58" s="131">
        <f t="shared" si="82"/>
        <v>0</v>
      </c>
      <c r="CL58" s="142" t="s">
        <v>331</v>
      </c>
      <c r="CN58" s="120"/>
      <c r="CO58" s="122"/>
      <c r="CQ58" s="120">
        <f>+AO57</f>
        <v>0</v>
      </c>
      <c r="CR58" s="138" t="s">
        <v>375</v>
      </c>
      <c r="CS58" s="121"/>
      <c r="CT58" s="123">
        <f>+CT56+CT54</f>
        <v>0</v>
      </c>
      <c r="CU58" s="124" t="s">
        <v>444</v>
      </c>
      <c r="CW58" s="325">
        <f>AO6</f>
        <v>0</v>
      </c>
      <c r="CX58" s="122" t="s">
        <v>1113</v>
      </c>
      <c r="DB58" s="221"/>
      <c r="DC58" s="165"/>
      <c r="DE58" t="s">
        <v>29</v>
      </c>
      <c r="DF58" t="s">
        <v>620</v>
      </c>
      <c r="DG58" t="s">
        <v>31</v>
      </c>
      <c r="DH58" t="s">
        <v>619</v>
      </c>
      <c r="DI58" t="s">
        <v>621</v>
      </c>
      <c r="DJ58" t="s">
        <v>571</v>
      </c>
      <c r="DK58" s="42"/>
      <c r="DT58" t="s">
        <v>562</v>
      </c>
      <c r="DU58" s="39"/>
      <c r="EM58" t="s">
        <v>398</v>
      </c>
    </row>
    <row r="59" spans="1:143" x14ac:dyDescent="0.3">
      <c r="A59" s="396"/>
      <c r="B59" s="234"/>
      <c r="C59" s="74" t="s">
        <v>94</v>
      </c>
      <c r="D59" s="75"/>
      <c r="E59" s="79"/>
      <c r="F59" s="95"/>
      <c r="G59" s="111" t="s">
        <v>1133</v>
      </c>
      <c r="H59" s="51"/>
      <c r="I59" s="51"/>
      <c r="J59" s="170"/>
      <c r="K59" s="170"/>
      <c r="L59" s="57" t="s">
        <v>288</v>
      </c>
      <c r="M59" s="51"/>
      <c r="N59" s="51"/>
      <c r="O59" s="51"/>
      <c r="P59" s="51"/>
      <c r="Q59" s="170"/>
      <c r="R59" s="51"/>
      <c r="S59" s="51"/>
      <c r="T59" s="53"/>
      <c r="U59" s="53"/>
      <c r="V59" s="53"/>
      <c r="W59" s="53"/>
      <c r="X59" s="53"/>
      <c r="Y59" s="53"/>
      <c r="Z59" s="53"/>
      <c r="AA59" s="53"/>
      <c r="AB59" s="53"/>
      <c r="AC59" s="53"/>
      <c r="AD59" s="53"/>
      <c r="AE59" s="53"/>
      <c r="AF59" s="53"/>
      <c r="AG59" s="53"/>
      <c r="AJ59" t="str">
        <f t="shared" si="66"/>
        <v/>
      </c>
      <c r="AN59" s="2" t="s">
        <v>214</v>
      </c>
      <c r="AO59" s="9">
        <f t="shared" si="83"/>
        <v>0</v>
      </c>
      <c r="AP59" s="16" t="b">
        <f t="shared" si="84"/>
        <v>0</v>
      </c>
      <c r="AQ59" s="16">
        <f t="shared" si="85"/>
        <v>0</v>
      </c>
      <c r="AR59" s="4" t="s">
        <v>377</v>
      </c>
      <c r="AS59" s="24">
        <v>929</v>
      </c>
      <c r="AT59" s="24">
        <f t="shared" si="81"/>
        <v>1129</v>
      </c>
      <c r="AV59" s="38"/>
      <c r="AW59" s="38"/>
      <c r="AZ59" s="15">
        <f t="shared" ref="AZ59:AZ65" si="95">IF(L60="",0,1)</f>
        <v>0</v>
      </c>
      <c r="BA59" s="20"/>
      <c r="BB59" s="3" t="s">
        <v>170</v>
      </c>
      <c r="BC59" s="20"/>
      <c r="BD59" s="13">
        <f>IF(K53="",0,1)</f>
        <v>0</v>
      </c>
      <c r="BE59" s="18" t="s">
        <v>1239</v>
      </c>
      <c r="BF59" s="3"/>
      <c r="BG59" s="3"/>
      <c r="BJ59" s="38"/>
      <c r="BT59" s="2">
        <f t="shared" si="88"/>
        <v>0</v>
      </c>
      <c r="BU59" s="42">
        <f>+$BL$4</f>
        <v>0</v>
      </c>
      <c r="BV59" s="42">
        <f t="shared" si="89"/>
        <v>0</v>
      </c>
      <c r="BW59" s="42">
        <f t="shared" si="90"/>
        <v>0</v>
      </c>
      <c r="BX59">
        <f t="shared" si="91"/>
        <v>0</v>
      </c>
      <c r="BY59">
        <f t="shared" si="92"/>
        <v>0</v>
      </c>
      <c r="BZ59">
        <f t="shared" ref="BZ59:BZ65" si="96">IF($BD$16=1,$DU$11,0)</f>
        <v>0</v>
      </c>
      <c r="CA59">
        <f t="shared" si="93"/>
        <v>0</v>
      </c>
      <c r="CC59">
        <f t="shared" si="24"/>
        <v>0</v>
      </c>
      <c r="CE59" s="90">
        <f>+BL26</f>
        <v>0</v>
      </c>
      <c r="CF59" s="105" t="s">
        <v>176</v>
      </c>
      <c r="CH59" s="131"/>
      <c r="CI59" s="132"/>
      <c r="CK59" s="131">
        <f t="shared" si="82"/>
        <v>0</v>
      </c>
      <c r="CL59" s="142" t="s">
        <v>118</v>
      </c>
      <c r="CN59" s="120" t="s">
        <v>1101</v>
      </c>
      <c r="CO59" s="122"/>
      <c r="CQ59" s="120">
        <f>+AO59</f>
        <v>0</v>
      </c>
      <c r="CR59" s="138" t="s">
        <v>377</v>
      </c>
      <c r="CS59" s="121"/>
      <c r="CT59" s="125"/>
      <c r="CU59" s="126"/>
      <c r="CW59" s="325">
        <f>AO10</f>
        <v>0</v>
      </c>
      <c r="CX59" s="122" t="s">
        <v>1114</v>
      </c>
      <c r="DA59">
        <f>+AO59</f>
        <v>0</v>
      </c>
      <c r="DB59" s="221" t="s">
        <v>377</v>
      </c>
      <c r="DC59" s="165" t="s">
        <v>611</v>
      </c>
      <c r="DD59" t="str">
        <f>IF($AZ$69=1,CONCATENATE("LLS4",DC59),CONCATENATE("LLS3",DC59))</f>
        <v>LLS363</v>
      </c>
      <c r="DE59" t="e">
        <f t="shared" si="37"/>
        <v>#N/A</v>
      </c>
      <c r="DF59" s="42" t="e">
        <f>IF($BI$42=1,CONCATENATE(VLOOKUP(1,$DA$72:$DB$75,2,FALSE),"D"),CONCATENATE(VLOOKUP(1,$DA$72:$DB$75,2,FALSE),"X"))</f>
        <v>#N/A</v>
      </c>
      <c r="DG59" t="e">
        <f>LEFT(VLOOKUP(1,$AU$3:$AW$54,3,FALSE),2)</f>
        <v>#N/A</v>
      </c>
      <c r="DH59" s="42" t="str">
        <f>IF($BH$47=1,"WM","")</f>
        <v/>
      </c>
      <c r="DI59" s="42" t="str">
        <f>IF($BD$16=1,"B","")</f>
        <v/>
      </c>
      <c r="DJ59" t="s">
        <v>571</v>
      </c>
      <c r="DK59" s="42" t="e">
        <f>CONCATENATE(DE59,DF59,DG59,DH59,DI59,DJ59)</f>
        <v>#N/A</v>
      </c>
      <c r="DL59" s="42" t="b">
        <f t="shared" si="80"/>
        <v>1</v>
      </c>
      <c r="DM59" s="121" t="str">
        <f t="shared" si="65"/>
        <v/>
      </c>
      <c r="DT59" s="38"/>
      <c r="DU59" s="39"/>
      <c r="EM59" t="s">
        <v>398</v>
      </c>
    </row>
    <row r="60" spans="1:143" x14ac:dyDescent="0.3">
      <c r="A60" s="396"/>
      <c r="B60" s="234"/>
      <c r="C60" s="403" t="s">
        <v>1250</v>
      </c>
      <c r="D60" s="75"/>
      <c r="E60" s="79"/>
      <c r="F60" s="95"/>
      <c r="G60" s="319" t="s">
        <v>1129</v>
      </c>
      <c r="H60" s="51"/>
      <c r="I60" s="51"/>
      <c r="J60" s="329"/>
      <c r="K60" s="353"/>
      <c r="L60" s="99"/>
      <c r="M60" s="54" t="s">
        <v>170</v>
      </c>
      <c r="N60" s="51"/>
      <c r="O60" s="60"/>
      <c r="P60" s="51"/>
      <c r="Q60" s="51"/>
      <c r="R60" s="51"/>
      <c r="S60" s="51"/>
      <c r="T60" s="53"/>
      <c r="U60" s="53"/>
      <c r="V60" s="53"/>
      <c r="W60" s="53"/>
      <c r="X60" s="53"/>
      <c r="Y60" s="53"/>
      <c r="Z60" s="53"/>
      <c r="AA60" s="53"/>
      <c r="AB60" s="53"/>
      <c r="AC60" s="53"/>
      <c r="AD60" s="53"/>
      <c r="AE60" s="53"/>
      <c r="AF60" s="53"/>
      <c r="AG60" s="53"/>
      <c r="AJ60" t="str">
        <f t="shared" si="66"/>
        <v/>
      </c>
      <c r="AN60" s="2" t="s">
        <v>214</v>
      </c>
      <c r="AO60" s="9">
        <f t="shared" si="83"/>
        <v>0</v>
      </c>
      <c r="AP60" s="16" t="b">
        <f t="shared" si="84"/>
        <v>0</v>
      </c>
      <c r="AQ60" s="16">
        <f t="shared" si="85"/>
        <v>0</v>
      </c>
      <c r="AR60" s="4"/>
      <c r="AS60" s="24"/>
      <c r="AT60" s="24"/>
      <c r="AV60" s="38"/>
      <c r="AW60" s="38"/>
      <c r="AZ60" s="15">
        <f t="shared" si="95"/>
        <v>0</v>
      </c>
      <c r="BA60" s="20"/>
      <c r="BB60" s="3" t="s">
        <v>171</v>
      </c>
      <c r="BC60" s="20"/>
      <c r="BD60" s="13">
        <f>IF(K54="",0,1)</f>
        <v>0</v>
      </c>
      <c r="BE60" s="18" t="s">
        <v>1240</v>
      </c>
      <c r="BF60" s="3"/>
      <c r="BG60" s="3"/>
      <c r="BH60" s="4" t="s">
        <v>200</v>
      </c>
      <c r="BI60" s="13">
        <f>IF(O55="",0,1)</f>
        <v>1</v>
      </c>
      <c r="BJ60" s="19" t="s">
        <v>1239</v>
      </c>
      <c r="BR60" s="31">
        <f>SUM(BR3:BR59)</f>
        <v>0</v>
      </c>
      <c r="BS60" s="31">
        <f>SUM(BS3:BS59)</f>
        <v>0</v>
      </c>
      <c r="BT60" s="2">
        <f t="shared" si="88"/>
        <v>0</v>
      </c>
      <c r="BU60" s="42">
        <f t="shared" ref="BU60:BU65" si="97">+$BL$4</f>
        <v>0</v>
      </c>
      <c r="BV60" s="42">
        <f t="shared" si="89"/>
        <v>0</v>
      </c>
      <c r="BW60" s="42">
        <f t="shared" si="90"/>
        <v>0</v>
      </c>
      <c r="BX60">
        <f t="shared" si="91"/>
        <v>0</v>
      </c>
      <c r="BY60">
        <f t="shared" si="92"/>
        <v>0</v>
      </c>
      <c r="BZ60">
        <f t="shared" si="96"/>
        <v>0</v>
      </c>
      <c r="CA60">
        <f t="shared" si="93"/>
        <v>0</v>
      </c>
      <c r="CC60">
        <f t="shared" si="24"/>
        <v>0</v>
      </c>
      <c r="CE60" s="90">
        <f>+BL27</f>
        <v>0</v>
      </c>
      <c r="CF60" s="105" t="s">
        <v>177</v>
      </c>
      <c r="CH60" s="123">
        <f>IF(CH56*CH58&gt;0,1,0)</f>
        <v>0</v>
      </c>
      <c r="CI60" s="124" t="s">
        <v>431</v>
      </c>
      <c r="CK60" s="131">
        <f t="shared" si="82"/>
        <v>0</v>
      </c>
      <c r="CL60" s="142" t="s">
        <v>123</v>
      </c>
      <c r="CN60" s="120"/>
      <c r="CO60" s="122"/>
      <c r="CQ60" s="120">
        <f>+AO61</f>
        <v>0</v>
      </c>
      <c r="CR60" s="138" t="s">
        <v>379</v>
      </c>
      <c r="CS60" s="121"/>
      <c r="CW60" s="325">
        <f>AO15</f>
        <v>0</v>
      </c>
      <c r="CX60" s="122" t="s">
        <v>1115</v>
      </c>
      <c r="DB60" s="221"/>
      <c r="DC60" s="165"/>
      <c r="DT60" s="324" t="s">
        <v>1131</v>
      </c>
      <c r="DU60" s="39">
        <v>0</v>
      </c>
      <c r="EM60" t="s">
        <v>398</v>
      </c>
    </row>
    <row r="61" spans="1:143" x14ac:dyDescent="0.3">
      <c r="A61" s="396"/>
      <c r="B61" s="234"/>
      <c r="C61" s="74" t="s">
        <v>96</v>
      </c>
      <c r="D61" s="75"/>
      <c r="E61" s="52"/>
      <c r="F61" s="95"/>
      <c r="G61" s="51" t="s">
        <v>215</v>
      </c>
      <c r="H61" s="51"/>
      <c r="I61" s="51"/>
      <c r="J61" s="329"/>
      <c r="K61" s="353"/>
      <c r="L61" s="99"/>
      <c r="M61" s="51" t="s">
        <v>171</v>
      </c>
      <c r="N61" s="51"/>
      <c r="O61" s="60"/>
      <c r="P61" s="52"/>
      <c r="Q61" s="51"/>
      <c r="R61" s="51"/>
      <c r="S61" s="51"/>
      <c r="T61" s="53"/>
      <c r="U61" s="53"/>
      <c r="V61" s="53"/>
      <c r="W61" s="53"/>
      <c r="X61" s="53"/>
      <c r="Y61" s="53"/>
      <c r="Z61" s="53"/>
      <c r="AA61" s="53"/>
      <c r="AB61" s="53"/>
      <c r="AC61" s="53"/>
      <c r="AD61" s="53"/>
      <c r="AE61" s="53"/>
      <c r="AF61" s="53"/>
      <c r="AG61" s="53"/>
      <c r="AJ61" t="str">
        <f t="shared" si="66"/>
        <v/>
      </c>
      <c r="AN61" s="2" t="s">
        <v>214</v>
      </c>
      <c r="AO61" s="9">
        <f t="shared" si="83"/>
        <v>0</v>
      </c>
      <c r="AP61" s="16" t="b">
        <f t="shared" si="84"/>
        <v>0</v>
      </c>
      <c r="AQ61" s="16">
        <f t="shared" si="85"/>
        <v>0</v>
      </c>
      <c r="AR61" s="4" t="s">
        <v>379</v>
      </c>
      <c r="AS61" s="24">
        <v>891</v>
      </c>
      <c r="AT61" s="24">
        <f t="shared" si="81"/>
        <v>1091</v>
      </c>
      <c r="AV61" s="38"/>
      <c r="AW61" s="246" t="s">
        <v>133</v>
      </c>
      <c r="AX61" s="2" t="s">
        <v>227</v>
      </c>
      <c r="AZ61" s="15">
        <f t="shared" si="95"/>
        <v>0</v>
      </c>
      <c r="BA61" s="20"/>
      <c r="BB61" s="3" t="s">
        <v>172</v>
      </c>
      <c r="BC61" s="6"/>
      <c r="BD61" s="17"/>
      <c r="BE61" s="151"/>
      <c r="BF61" s="3"/>
      <c r="BG61" s="3"/>
      <c r="BH61" s="3"/>
      <c r="BI61" s="17"/>
      <c r="BJ61" s="236"/>
      <c r="BT61" s="2">
        <f t="shared" si="88"/>
        <v>0</v>
      </c>
      <c r="BU61" s="42">
        <f t="shared" si="97"/>
        <v>0</v>
      </c>
      <c r="BV61" s="42">
        <f t="shared" si="89"/>
        <v>0</v>
      </c>
      <c r="BW61" s="42">
        <f t="shared" si="90"/>
        <v>0</v>
      </c>
      <c r="BX61">
        <f t="shared" si="91"/>
        <v>0</v>
      </c>
      <c r="BY61">
        <f t="shared" si="92"/>
        <v>0</v>
      </c>
      <c r="BZ61">
        <f t="shared" si="96"/>
        <v>0</v>
      </c>
      <c r="CA61">
        <f t="shared" si="93"/>
        <v>0</v>
      </c>
      <c r="CC61">
        <f t="shared" si="24"/>
        <v>0</v>
      </c>
      <c r="CE61" s="90">
        <f>+BL35</f>
        <v>0</v>
      </c>
      <c r="CF61" s="105" t="s">
        <v>183</v>
      </c>
      <c r="CH61" s="135"/>
      <c r="CI61" s="136"/>
      <c r="CK61" s="131">
        <f t="shared" si="82"/>
        <v>0</v>
      </c>
      <c r="CL61" s="236"/>
      <c r="CN61" s="120"/>
      <c r="CO61" s="122" t="s">
        <v>1102</v>
      </c>
      <c r="CQ61" s="120">
        <f>+AO62</f>
        <v>0</v>
      </c>
      <c r="CR61" s="138" t="s">
        <v>380</v>
      </c>
      <c r="CS61" s="121"/>
      <c r="CW61" s="325">
        <f>AO20</f>
        <v>0</v>
      </c>
      <c r="CX61" s="122" t="s">
        <v>1116</v>
      </c>
      <c r="DA61">
        <f>+AO61</f>
        <v>0</v>
      </c>
      <c r="DB61" s="221" t="s">
        <v>379</v>
      </c>
      <c r="DC61" s="165" t="s">
        <v>612</v>
      </c>
      <c r="DD61" t="str">
        <f>IF($AZ$69=1,CONCATENATE("LLS4",DC61),CONCATENATE("LLS3",DC61))</f>
        <v>LLS354</v>
      </c>
      <c r="DE61" t="e">
        <f t="shared" si="37"/>
        <v>#N/A</v>
      </c>
      <c r="DF61" s="42" t="e">
        <f>IF($BI$42=1,CONCATENATE(VLOOKUP(1,$DA$72:$DB$75,2,FALSE),"D"),CONCATENATE(VLOOKUP(1,$DA$72:$DB$75,2,FALSE),"X"))</f>
        <v>#N/A</v>
      </c>
      <c r="DG61" t="e">
        <f>LEFT(VLOOKUP(1,$AU$3:$AW$54,3,FALSE),2)</f>
        <v>#N/A</v>
      </c>
      <c r="DH61" s="42" t="str">
        <f t="shared" ref="DH61:DH65" si="98">IF($BH$47=1,"WM","")</f>
        <v/>
      </c>
      <c r="DI61" s="42" t="str">
        <f>IF($BD$16=1,"B","")</f>
        <v/>
      </c>
      <c r="DJ61" t="s">
        <v>571</v>
      </c>
      <c r="DK61" s="42" t="e">
        <f>CONCATENATE(DE61,DF61,DG61,DH61,DI61,DJ61)</f>
        <v>#N/A</v>
      </c>
      <c r="DL61" s="42" t="b">
        <f t="shared" si="80"/>
        <v>1</v>
      </c>
      <c r="DM61" s="121" t="str">
        <f t="shared" si="65"/>
        <v/>
      </c>
      <c r="DT61" s="324" t="s">
        <v>1132</v>
      </c>
      <c r="DU61" s="39">
        <v>0</v>
      </c>
      <c r="EM61" t="s">
        <v>398</v>
      </c>
    </row>
    <row r="62" spans="1:143" x14ac:dyDescent="0.3">
      <c r="A62" s="396"/>
      <c r="B62" s="234"/>
      <c r="C62" s="74" t="s">
        <v>97</v>
      </c>
      <c r="D62" s="75"/>
      <c r="E62" s="78"/>
      <c r="F62" s="95"/>
      <c r="G62" s="51" t="s">
        <v>216</v>
      </c>
      <c r="H62" s="51"/>
      <c r="I62" s="51"/>
      <c r="J62" s="329"/>
      <c r="K62" s="353"/>
      <c r="L62" s="99"/>
      <c r="M62" s="51" t="s">
        <v>172</v>
      </c>
      <c r="N62" s="51"/>
      <c r="O62" s="60"/>
      <c r="P62" s="52"/>
      <c r="Q62" s="51"/>
      <c r="R62" s="51"/>
      <c r="S62" s="51"/>
      <c r="T62" s="53"/>
      <c r="U62" s="53"/>
      <c r="V62" s="53"/>
      <c r="W62" s="53"/>
      <c r="X62" s="53"/>
      <c r="Y62" s="53"/>
      <c r="Z62" s="53"/>
      <c r="AA62" s="53"/>
      <c r="AB62" s="53"/>
      <c r="AC62" s="53"/>
      <c r="AD62" s="53"/>
      <c r="AE62" s="53"/>
      <c r="AF62" s="53"/>
      <c r="AG62" s="53"/>
      <c r="AJ62" t="str">
        <f t="shared" si="66"/>
        <v/>
      </c>
      <c r="AN62" s="2" t="s">
        <v>214</v>
      </c>
      <c r="AO62" s="9">
        <f t="shared" si="83"/>
        <v>0</v>
      </c>
      <c r="AP62" s="16" t="b">
        <f t="shared" si="84"/>
        <v>0</v>
      </c>
      <c r="AQ62" s="16">
        <f t="shared" si="85"/>
        <v>0</v>
      </c>
      <c r="AR62" s="4" t="s">
        <v>380</v>
      </c>
      <c r="AS62" s="24">
        <v>967</v>
      </c>
      <c r="AT62" s="24">
        <f t="shared" si="81"/>
        <v>1167</v>
      </c>
      <c r="AU62" s="9">
        <f t="shared" ref="AU62:AU76" si="99">IF(F57="",0,1)</f>
        <v>0</v>
      </c>
      <c r="AV62" s="17"/>
      <c r="AW62" s="324" t="s">
        <v>1131</v>
      </c>
      <c r="AX62" s="39">
        <f t="shared" ref="AX62:AX76" si="100">AU62*DU60</f>
        <v>0</v>
      </c>
      <c r="AZ62" s="15">
        <f t="shared" si="95"/>
        <v>0</v>
      </c>
      <c r="BA62" s="45">
        <f>+AZ62*DU30</f>
        <v>0</v>
      </c>
      <c r="BB62" s="3" t="s">
        <v>35</v>
      </c>
      <c r="BC62" s="20" t="s">
        <v>42</v>
      </c>
      <c r="BD62" s="13">
        <f>IF(K56="",0,1)</f>
        <v>0</v>
      </c>
      <c r="BE62" s="151" t="s">
        <v>202</v>
      </c>
      <c r="BF62" s="3"/>
      <c r="BG62" s="3"/>
      <c r="BI62" s="121"/>
      <c r="BJ62" s="38"/>
      <c r="BT62" s="2">
        <f t="shared" si="88"/>
        <v>0</v>
      </c>
      <c r="BU62" s="42">
        <f t="shared" si="97"/>
        <v>0</v>
      </c>
      <c r="BV62" s="42">
        <f t="shared" si="89"/>
        <v>0</v>
      </c>
      <c r="BW62" s="42">
        <f t="shared" si="90"/>
        <v>0</v>
      </c>
      <c r="BX62">
        <f t="shared" si="91"/>
        <v>0</v>
      </c>
      <c r="BY62">
        <f t="shared" si="92"/>
        <v>0</v>
      </c>
      <c r="BZ62">
        <f t="shared" si="96"/>
        <v>0</v>
      </c>
      <c r="CA62">
        <f t="shared" si="93"/>
        <v>0</v>
      </c>
      <c r="CC62">
        <f t="shared" si="24"/>
        <v>0</v>
      </c>
      <c r="CE62" s="90">
        <f>SUM(CE59:CE61)</f>
        <v>0</v>
      </c>
      <c r="CF62" s="105" t="s">
        <v>412</v>
      </c>
      <c r="CK62" s="131">
        <f t="shared" si="82"/>
        <v>0</v>
      </c>
      <c r="CL62" s="236"/>
      <c r="CN62" s="120">
        <f>+AO14</f>
        <v>0</v>
      </c>
      <c r="CO62" s="122" t="s">
        <v>342</v>
      </c>
      <c r="CQ62" s="120">
        <f>+AO63</f>
        <v>0</v>
      </c>
      <c r="CR62" s="138" t="s">
        <v>381</v>
      </c>
      <c r="CS62" s="121"/>
      <c r="CW62" s="325"/>
      <c r="CX62" s="122"/>
      <c r="DA62">
        <f>+AO62</f>
        <v>0</v>
      </c>
      <c r="DB62" s="221" t="s">
        <v>380</v>
      </c>
      <c r="DC62" s="165" t="s">
        <v>586</v>
      </c>
      <c r="DD62" t="str">
        <f>IF($AZ$69=1,CONCATENATE("LLS4",DC62),CONCATENATE("LLS3",DC62))</f>
        <v>LLS364</v>
      </c>
      <c r="DE62" t="e">
        <f t="shared" si="37"/>
        <v>#N/A</v>
      </c>
      <c r="DF62" s="42" t="e">
        <f>IF($BI$42=1,CONCATENATE(VLOOKUP(1,$DA$72:$DB$75,2,FALSE),"D"),CONCATENATE(VLOOKUP(1,$DA$72:$DB$75,2,FALSE),"X"))</f>
        <v>#N/A</v>
      </c>
      <c r="DG62" t="e">
        <f>LEFT(VLOOKUP(1,$AU$3:$AW$54,3,FALSE),2)</f>
        <v>#N/A</v>
      </c>
      <c r="DH62" s="42" t="str">
        <f t="shared" si="98"/>
        <v/>
      </c>
      <c r="DI62" s="42" t="str">
        <f>IF($BD$16=1,"B","")</f>
        <v/>
      </c>
      <c r="DJ62" t="s">
        <v>571</v>
      </c>
      <c r="DK62" s="42" t="e">
        <f>CONCATENATE(DE62,DF62,DG62,DH62,DI62,DJ62)</f>
        <v>#N/A</v>
      </c>
      <c r="DL62" s="42" t="b">
        <f t="shared" si="80"/>
        <v>1</v>
      </c>
      <c r="DM62" s="121" t="str">
        <f t="shared" si="65"/>
        <v/>
      </c>
      <c r="DT62" s="324" t="s">
        <v>1133</v>
      </c>
      <c r="DU62" s="39">
        <v>0</v>
      </c>
      <c r="EM62" t="s">
        <v>398</v>
      </c>
    </row>
    <row r="63" spans="1:143" x14ac:dyDescent="0.3">
      <c r="A63" s="396"/>
      <c r="B63" s="234"/>
      <c r="C63" s="74" t="s">
        <v>98</v>
      </c>
      <c r="D63" s="75"/>
      <c r="E63" s="52"/>
      <c r="F63" s="95"/>
      <c r="G63" s="51" t="s">
        <v>135</v>
      </c>
      <c r="H63" s="51"/>
      <c r="I63" s="51"/>
      <c r="J63" s="329"/>
      <c r="K63" s="353"/>
      <c r="L63" s="99"/>
      <c r="M63" s="51" t="s">
        <v>35</v>
      </c>
      <c r="N63" s="51"/>
      <c r="O63" s="60"/>
      <c r="P63" s="52"/>
      <c r="Q63" s="51"/>
      <c r="R63" s="51"/>
      <c r="S63" s="51"/>
      <c r="T63" s="53"/>
      <c r="U63" s="53"/>
      <c r="V63" s="53"/>
      <c r="W63" s="53"/>
      <c r="X63" s="53"/>
      <c r="Y63" s="53"/>
      <c r="Z63" s="53"/>
      <c r="AA63" s="53"/>
      <c r="AB63" s="53"/>
      <c r="AC63" s="53"/>
      <c r="AD63" s="53"/>
      <c r="AE63" s="53"/>
      <c r="AF63" s="53"/>
      <c r="AG63" s="53"/>
      <c r="AJ63" t="str">
        <f t="shared" si="66"/>
        <v/>
      </c>
      <c r="AN63" s="2" t="s">
        <v>214</v>
      </c>
      <c r="AO63" s="9">
        <f t="shared" si="83"/>
        <v>0</v>
      </c>
      <c r="AP63" s="16" t="b">
        <f t="shared" si="84"/>
        <v>0</v>
      </c>
      <c r="AQ63" s="16">
        <f t="shared" si="85"/>
        <v>0</v>
      </c>
      <c r="AR63" s="4" t="s">
        <v>381</v>
      </c>
      <c r="AS63" s="24">
        <v>1015</v>
      </c>
      <c r="AT63" s="24">
        <f t="shared" si="81"/>
        <v>1215</v>
      </c>
      <c r="AU63" s="9">
        <f t="shared" si="99"/>
        <v>0</v>
      </c>
      <c r="AV63" s="17"/>
      <c r="AW63" s="324" t="s">
        <v>1132</v>
      </c>
      <c r="AX63" s="39">
        <f t="shared" si="100"/>
        <v>0</v>
      </c>
      <c r="AZ63" s="15">
        <f t="shared" si="95"/>
        <v>0</v>
      </c>
      <c r="BA63" s="45">
        <f>+AZ63*DU30</f>
        <v>0</v>
      </c>
      <c r="BB63" s="3" t="s">
        <v>36</v>
      </c>
      <c r="BC63" s="6"/>
      <c r="BD63" s="13">
        <f>IF(K57="",0,1)</f>
        <v>0</v>
      </c>
      <c r="BE63" s="151" t="s">
        <v>201</v>
      </c>
      <c r="BF63" s="3"/>
      <c r="BG63" s="3"/>
      <c r="BH63" s="4"/>
      <c r="BI63" s="17"/>
      <c r="BJ63" s="236"/>
      <c r="BT63" s="2">
        <f t="shared" si="88"/>
        <v>0</v>
      </c>
      <c r="BU63" s="42">
        <f t="shared" si="97"/>
        <v>0</v>
      </c>
      <c r="BV63" s="42">
        <f t="shared" si="89"/>
        <v>0</v>
      </c>
      <c r="BW63" s="42">
        <f t="shared" si="90"/>
        <v>0</v>
      </c>
      <c r="BX63">
        <f t="shared" si="91"/>
        <v>0</v>
      </c>
      <c r="BY63">
        <f t="shared" si="92"/>
        <v>0</v>
      </c>
      <c r="BZ63">
        <f t="shared" si="96"/>
        <v>0</v>
      </c>
      <c r="CA63">
        <f t="shared" si="93"/>
        <v>0</v>
      </c>
      <c r="CC63">
        <f t="shared" si="24"/>
        <v>0</v>
      </c>
      <c r="CK63" s="131">
        <f t="shared" si="82"/>
        <v>0</v>
      </c>
      <c r="CL63" s="236"/>
      <c r="CN63" s="120">
        <f>+AO19</f>
        <v>0</v>
      </c>
      <c r="CO63" s="122" t="s">
        <v>346</v>
      </c>
      <c r="CQ63" s="120">
        <f>+AO64</f>
        <v>0</v>
      </c>
      <c r="CR63" s="138" t="s">
        <v>382</v>
      </c>
      <c r="CS63" s="121"/>
      <c r="CW63" s="325">
        <f>SUM(CW57:CW62)</f>
        <v>0</v>
      </c>
      <c r="CX63" s="122" t="s">
        <v>1165</v>
      </c>
      <c r="DA63">
        <f>+AO63</f>
        <v>0</v>
      </c>
      <c r="DB63" s="221" t="s">
        <v>381</v>
      </c>
      <c r="DC63" s="165" t="s">
        <v>587</v>
      </c>
      <c r="DD63" t="str">
        <f>IF($AZ$69=1,CONCATENATE("LLS4",DC63),CONCATENATE("LLS3",DC63))</f>
        <v>LLS384</v>
      </c>
      <c r="DE63" t="e">
        <f t="shared" si="37"/>
        <v>#N/A</v>
      </c>
      <c r="DF63" s="42" t="e">
        <f>IF($BI$42=1,CONCATENATE(VLOOKUP(1,$DA$72:$DB$75,2,FALSE),"D"),CONCATENATE(VLOOKUP(1,$DA$72:$DB$75,2,FALSE),"X"))</f>
        <v>#N/A</v>
      </c>
      <c r="DG63" t="e">
        <f>LEFT(VLOOKUP(1,$AU$3:$AW$54,3,FALSE),2)</f>
        <v>#N/A</v>
      </c>
      <c r="DH63" s="42" t="str">
        <f t="shared" si="98"/>
        <v/>
      </c>
      <c r="DI63" s="42" t="str">
        <f>IF($BD$16=1,"B","")</f>
        <v/>
      </c>
      <c r="DJ63" t="s">
        <v>571</v>
      </c>
      <c r="DK63" s="42" t="e">
        <f>CONCATENATE(DE63,DF63,DG63,DH63,DI63,DJ63)</f>
        <v>#N/A</v>
      </c>
      <c r="DL63" s="42" t="b">
        <f t="shared" si="80"/>
        <v>1</v>
      </c>
      <c r="DM63" s="121" t="str">
        <f t="shared" si="65"/>
        <v/>
      </c>
      <c r="DT63" s="324" t="s">
        <v>1129</v>
      </c>
      <c r="DU63" s="39">
        <v>0</v>
      </c>
      <c r="EM63" t="s">
        <v>398</v>
      </c>
    </row>
    <row r="64" spans="1:143" x14ac:dyDescent="0.3">
      <c r="A64" s="396"/>
      <c r="B64" s="234"/>
      <c r="C64" s="74" t="s">
        <v>99</v>
      </c>
      <c r="D64" s="75"/>
      <c r="E64" s="52"/>
      <c r="F64" s="95"/>
      <c r="G64" s="51" t="s">
        <v>136</v>
      </c>
      <c r="H64" s="51"/>
      <c r="I64" s="51"/>
      <c r="J64" s="329"/>
      <c r="K64" s="353"/>
      <c r="L64" s="99"/>
      <c r="M64" s="51" t="s">
        <v>36</v>
      </c>
      <c r="N64" s="51"/>
      <c r="O64" s="60"/>
      <c r="P64" s="52"/>
      <c r="Q64" s="267"/>
      <c r="R64" s="267"/>
      <c r="S64" s="51"/>
      <c r="T64" s="53"/>
      <c r="U64" s="53"/>
      <c r="V64" s="53"/>
      <c r="W64" s="53"/>
      <c r="X64" s="53"/>
      <c r="Y64" s="53"/>
      <c r="Z64" s="53"/>
      <c r="AA64" s="53"/>
      <c r="AB64" s="53"/>
      <c r="AC64" s="53"/>
      <c r="AD64" s="53"/>
      <c r="AE64" s="53"/>
      <c r="AF64" s="53"/>
      <c r="AG64" s="53"/>
      <c r="AJ64" t="str">
        <f t="shared" si="66"/>
        <v/>
      </c>
      <c r="AN64" s="2" t="s">
        <v>214</v>
      </c>
      <c r="AO64" s="9">
        <f t="shared" si="83"/>
        <v>0</v>
      </c>
      <c r="AP64" s="16" t="b">
        <f t="shared" si="84"/>
        <v>0</v>
      </c>
      <c r="AQ64" s="16">
        <f t="shared" si="85"/>
        <v>0</v>
      </c>
      <c r="AR64" s="4" t="s">
        <v>382</v>
      </c>
      <c r="AS64" s="24">
        <v>891</v>
      </c>
      <c r="AT64" s="24">
        <f t="shared" si="81"/>
        <v>1091</v>
      </c>
      <c r="AU64" s="9">
        <f t="shared" si="99"/>
        <v>0</v>
      </c>
      <c r="AV64" s="17"/>
      <c r="AW64" s="324" t="s">
        <v>1133</v>
      </c>
      <c r="AX64" s="39">
        <f t="shared" si="100"/>
        <v>0</v>
      </c>
      <c r="AZ64" s="15">
        <f t="shared" si="95"/>
        <v>0</v>
      </c>
      <c r="BA64" s="45">
        <f>+AZ64*DU30</f>
        <v>0</v>
      </c>
      <c r="BB64" s="3" t="s">
        <v>37</v>
      </c>
      <c r="BC64" s="121"/>
      <c r="BD64" s="121"/>
      <c r="BE64" s="38"/>
      <c r="BF64" s="3"/>
      <c r="BG64" s="3"/>
      <c r="BH64" s="3"/>
      <c r="BI64" s="17"/>
      <c r="BJ64" s="236"/>
      <c r="BT64" s="2">
        <f t="shared" si="88"/>
        <v>0</v>
      </c>
      <c r="BU64" s="42">
        <f t="shared" si="97"/>
        <v>0</v>
      </c>
      <c r="BV64" s="42">
        <f t="shared" si="89"/>
        <v>0</v>
      </c>
      <c r="BW64" s="42">
        <f t="shared" si="90"/>
        <v>0</v>
      </c>
      <c r="BX64">
        <f t="shared" si="91"/>
        <v>0</v>
      </c>
      <c r="BY64">
        <f t="shared" si="92"/>
        <v>0</v>
      </c>
      <c r="BZ64">
        <f t="shared" si="96"/>
        <v>0</v>
      </c>
      <c r="CA64">
        <f t="shared" si="93"/>
        <v>0</v>
      </c>
      <c r="CC64">
        <f t="shared" si="24"/>
        <v>0</v>
      </c>
      <c r="CE64" s="90">
        <f>IF(OR(CE56&gt;1,CE62&gt;1)=TRUE,1,0)</f>
        <v>0</v>
      </c>
      <c r="CF64" s="105" t="s">
        <v>421</v>
      </c>
      <c r="CK64" s="131">
        <f t="shared" si="82"/>
        <v>0</v>
      </c>
      <c r="CL64" s="236"/>
      <c r="CN64" s="120">
        <f>IF(SUM(CN61:CN63)&gt;0,1,0)</f>
        <v>0</v>
      </c>
      <c r="CO64" s="132" t="s">
        <v>1105</v>
      </c>
      <c r="CQ64" s="120">
        <f>+AO65</f>
        <v>0</v>
      </c>
      <c r="CR64" s="138" t="s">
        <v>383</v>
      </c>
      <c r="CS64" s="121"/>
      <c r="CW64" s="325">
        <f>+BL14</f>
        <v>0</v>
      </c>
      <c r="CX64" s="122" t="s">
        <v>1166</v>
      </c>
      <c r="DA64">
        <f>+AO64</f>
        <v>0</v>
      </c>
      <c r="DB64" s="221" t="s">
        <v>382</v>
      </c>
      <c r="DC64" s="165" t="s">
        <v>612</v>
      </c>
      <c r="DD64" t="str">
        <f>IF($AZ$69=1,CONCATENATE("LLS4",DC64),CONCATENATE("LLS3",DC64))</f>
        <v>LLS354</v>
      </c>
      <c r="DE64" t="e">
        <f t="shared" si="37"/>
        <v>#N/A</v>
      </c>
      <c r="DF64" s="42" t="e">
        <f>IF($BI$42=1,CONCATENATE(VLOOKUP(1,$DA$72:$DB$75,2,FALSE),"D"),CONCATENATE(VLOOKUP(1,$DA$72:$DB$75,2,FALSE),"X"))</f>
        <v>#N/A</v>
      </c>
      <c r="DG64" t="e">
        <f>LEFT(VLOOKUP(1,$AU$3:$AW$54,3,FALSE),2)</f>
        <v>#N/A</v>
      </c>
      <c r="DH64" s="42" t="str">
        <f t="shared" si="98"/>
        <v/>
      </c>
      <c r="DI64" s="42" t="str">
        <f>IF($BD$16=1,"B","")</f>
        <v/>
      </c>
      <c r="DJ64" t="s">
        <v>571</v>
      </c>
      <c r="DK64" s="42" t="e">
        <f>CONCATENATE(DE64,DF64,DG64,DH64,DI64,DJ64)</f>
        <v>#N/A</v>
      </c>
      <c r="DL64" s="42" t="b">
        <f t="shared" si="80"/>
        <v>1</v>
      </c>
      <c r="DM64" s="121" t="str">
        <f t="shared" si="65"/>
        <v/>
      </c>
      <c r="DT64" s="324" t="s">
        <v>215</v>
      </c>
      <c r="DU64" s="39">
        <v>200</v>
      </c>
      <c r="EM64" t="s">
        <v>398</v>
      </c>
    </row>
    <row r="65" spans="1:143" x14ac:dyDescent="0.3">
      <c r="A65" s="397"/>
      <c r="B65" s="234"/>
      <c r="C65" s="76" t="s">
        <v>100</v>
      </c>
      <c r="D65" s="77"/>
      <c r="E65" s="52"/>
      <c r="F65" s="95"/>
      <c r="G65" s="51" t="s">
        <v>1008</v>
      </c>
      <c r="H65" s="51"/>
      <c r="I65" s="51"/>
      <c r="J65" s="170"/>
      <c r="K65" s="170"/>
      <c r="L65" s="99"/>
      <c r="M65" s="51" t="s">
        <v>37</v>
      </c>
      <c r="N65" s="51"/>
      <c r="O65" s="51"/>
      <c r="P65" s="51"/>
      <c r="Q65" s="267"/>
      <c r="R65" s="267"/>
      <c r="S65" s="51"/>
      <c r="T65" s="53"/>
      <c r="U65" s="53"/>
      <c r="V65" s="53"/>
      <c r="W65" s="53"/>
      <c r="X65" s="53"/>
      <c r="Y65" s="53"/>
      <c r="Z65" s="53"/>
      <c r="AA65" s="53"/>
      <c r="AB65" s="53"/>
      <c r="AC65" s="53"/>
      <c r="AD65" s="53"/>
      <c r="AE65" s="53"/>
      <c r="AF65" s="53"/>
      <c r="AG65" s="53"/>
      <c r="AH65" s="32"/>
      <c r="AI65" s="32"/>
      <c r="AJ65" s="32" t="str">
        <f t="shared" si="66"/>
        <v/>
      </c>
      <c r="AK65" s="32"/>
      <c r="AL65" s="32"/>
      <c r="AN65" s="2" t="s">
        <v>214</v>
      </c>
      <c r="AO65" s="9">
        <f t="shared" si="83"/>
        <v>0</v>
      </c>
      <c r="AP65" s="16" t="b">
        <f t="shared" si="84"/>
        <v>0</v>
      </c>
      <c r="AQ65" s="16">
        <f t="shared" si="85"/>
        <v>0</v>
      </c>
      <c r="AR65" s="173" t="s">
        <v>383</v>
      </c>
      <c r="AS65" s="174">
        <v>967</v>
      </c>
      <c r="AT65" s="175">
        <f t="shared" si="81"/>
        <v>1167</v>
      </c>
      <c r="AU65" s="9">
        <f t="shared" si="99"/>
        <v>0</v>
      </c>
      <c r="AW65" s="324" t="s">
        <v>1129</v>
      </c>
      <c r="AX65" s="39">
        <f t="shared" si="100"/>
        <v>0</v>
      </c>
      <c r="AZ65" s="15">
        <f t="shared" si="95"/>
        <v>0</v>
      </c>
      <c r="BA65" s="45">
        <f>+AZ65*DU30</f>
        <v>0</v>
      </c>
      <c r="BB65" s="3" t="s">
        <v>38</v>
      </c>
      <c r="BC65" s="121"/>
      <c r="BD65" s="121"/>
      <c r="BF65" s="3"/>
      <c r="BG65" s="3"/>
      <c r="BI65" s="17"/>
      <c r="BJ65" s="236"/>
      <c r="BT65" s="222">
        <f t="shared" si="88"/>
        <v>0</v>
      </c>
      <c r="BU65" s="42">
        <f t="shared" si="97"/>
        <v>0</v>
      </c>
      <c r="BV65" s="42">
        <f t="shared" si="89"/>
        <v>0</v>
      </c>
      <c r="BW65" s="42">
        <f t="shared" si="90"/>
        <v>0</v>
      </c>
      <c r="BX65">
        <f t="shared" si="91"/>
        <v>0</v>
      </c>
      <c r="BY65">
        <f t="shared" si="92"/>
        <v>0</v>
      </c>
      <c r="BZ65">
        <f t="shared" si="96"/>
        <v>0</v>
      </c>
      <c r="CA65">
        <f t="shared" si="93"/>
        <v>0</v>
      </c>
      <c r="CC65">
        <f t="shared" si="24"/>
        <v>0</v>
      </c>
      <c r="CK65" s="131">
        <f t="shared" si="82"/>
        <v>0</v>
      </c>
      <c r="CL65" s="236"/>
      <c r="CN65" s="120"/>
      <c r="CO65" s="122"/>
      <c r="CQ65" s="120">
        <f>SUM(CQ58:CQ64)</f>
        <v>0</v>
      </c>
      <c r="CR65" s="138" t="s">
        <v>449</v>
      </c>
      <c r="CS65" s="121"/>
      <c r="CW65" s="325">
        <f>+CW64*CW63</f>
        <v>0</v>
      </c>
      <c r="CX65" s="124" t="s">
        <v>444</v>
      </c>
      <c r="DA65">
        <f>+AO65</f>
        <v>0</v>
      </c>
      <c r="DB65" s="221" t="s">
        <v>383</v>
      </c>
      <c r="DC65" s="165" t="s">
        <v>586</v>
      </c>
      <c r="DD65" t="str">
        <f>IF($AZ$69=1,CONCATENATE("LLS4",DC65),CONCATENATE("LLS3",DC65))</f>
        <v>LLS364</v>
      </c>
      <c r="DE65" t="e">
        <f t="shared" si="37"/>
        <v>#N/A</v>
      </c>
      <c r="DF65" s="42" t="e">
        <f>IF($BI$42=1,CONCATENATE(VLOOKUP(1,$DA$72:$DB$75,2,FALSE),"D"),CONCATENATE(VLOOKUP(1,$DA$72:$DB$75,2,FALSE),"X"))</f>
        <v>#N/A</v>
      </c>
      <c r="DG65" t="e">
        <f>LEFT(VLOOKUP(1,$AU$3:$AW$54,3,FALSE),2)</f>
        <v>#N/A</v>
      </c>
      <c r="DH65" s="42" t="str">
        <f t="shared" si="98"/>
        <v/>
      </c>
      <c r="DI65" s="42" t="str">
        <f>IF($BD$16=1,"B","")</f>
        <v/>
      </c>
      <c r="DJ65" t="s">
        <v>571</v>
      </c>
      <c r="DK65" s="42" t="e">
        <f>CONCATENATE(DE65,DF65,DG65,DH65,DI65,DJ65)</f>
        <v>#N/A</v>
      </c>
      <c r="DL65" s="42" t="b">
        <f t="shared" si="80"/>
        <v>1</v>
      </c>
      <c r="DM65" s="121" t="str">
        <f t="shared" si="65"/>
        <v/>
      </c>
      <c r="DT65" s="324" t="s">
        <v>216</v>
      </c>
      <c r="DU65" s="39">
        <v>200</v>
      </c>
      <c r="EM65" t="s">
        <v>398</v>
      </c>
    </row>
    <row r="66" spans="1:143" x14ac:dyDescent="0.3">
      <c r="A66" s="51"/>
      <c r="B66" s="51"/>
      <c r="C66" s="51"/>
      <c r="D66" s="52"/>
      <c r="E66" s="52"/>
      <c r="F66" s="95"/>
      <c r="G66" s="111" t="s">
        <v>1134</v>
      </c>
      <c r="H66" s="51"/>
      <c r="I66" s="51"/>
      <c r="J66" s="170"/>
      <c r="K66" s="170"/>
      <c r="L66" s="99"/>
      <c r="M66" s="51" t="s">
        <v>38</v>
      </c>
      <c r="N66" s="51"/>
      <c r="O66" s="51"/>
      <c r="P66" s="51"/>
      <c r="Q66" s="267"/>
      <c r="R66" s="267"/>
      <c r="S66" s="51"/>
      <c r="T66" s="53"/>
      <c r="U66" s="53"/>
      <c r="V66" s="53"/>
      <c r="W66" s="53"/>
      <c r="X66" s="53"/>
      <c r="Y66" s="53"/>
      <c r="Z66" s="53"/>
      <c r="AA66" s="53"/>
      <c r="AB66" s="53"/>
      <c r="AC66" s="53"/>
      <c r="AD66" s="53"/>
      <c r="AE66" s="53"/>
      <c r="AF66" s="53"/>
      <c r="AG66" s="53"/>
      <c r="AU66" s="9">
        <f t="shared" si="99"/>
        <v>0</v>
      </c>
      <c r="AV66" s="16"/>
      <c r="AW66" s="324" t="s">
        <v>215</v>
      </c>
      <c r="AX66" s="39">
        <f t="shared" si="100"/>
        <v>0</v>
      </c>
      <c r="AZ66" s="26"/>
      <c r="BA66" s="41">
        <f>SUM(BA62:BA65)</f>
        <v>0</v>
      </c>
      <c r="BB66" s="24" t="s">
        <v>227</v>
      </c>
      <c r="BC66" s="20"/>
      <c r="BD66" s="17"/>
      <c r="BE66" s="3"/>
      <c r="BF66" s="3"/>
      <c r="BG66" s="3"/>
      <c r="BH66" s="3"/>
      <c r="BI66" s="17"/>
      <c r="BJ66" s="7"/>
      <c r="CK66" s="131">
        <f t="shared" si="82"/>
        <v>0</v>
      </c>
      <c r="CL66" s="236"/>
      <c r="CN66" s="120">
        <f>+BG5</f>
        <v>0</v>
      </c>
      <c r="CO66" s="122" t="s">
        <v>426</v>
      </c>
      <c r="CQ66" s="120"/>
      <c r="CR66" s="122"/>
      <c r="CS66" s="121"/>
      <c r="CW66" s="125"/>
      <c r="CX66" s="126"/>
      <c r="DN66" s="164" t="str">
        <f>CONCATENATE(DM57,DM59,DM61,DM62,DM63,DM64,DM65)</f>
        <v/>
      </c>
      <c r="DT66" s="324" t="s">
        <v>135</v>
      </c>
      <c r="DU66" s="39">
        <v>200</v>
      </c>
      <c r="EM66" t="s">
        <v>398</v>
      </c>
    </row>
    <row r="67" spans="1:143" x14ac:dyDescent="0.3">
      <c r="A67" s="51"/>
      <c r="B67" s="51"/>
      <c r="C67" s="61"/>
      <c r="D67" s="78"/>
      <c r="E67" s="52"/>
      <c r="F67" s="95"/>
      <c r="G67" s="51" t="s">
        <v>134</v>
      </c>
      <c r="H67" s="51"/>
      <c r="I67" s="51"/>
      <c r="J67" s="51"/>
      <c r="K67" s="51"/>
      <c r="L67" s="51"/>
      <c r="M67" s="51"/>
      <c r="N67" s="51"/>
      <c r="O67" s="51"/>
      <c r="P67" s="51"/>
      <c r="Q67" s="267"/>
      <c r="R67" s="267"/>
      <c r="S67" s="51"/>
      <c r="T67" s="53"/>
      <c r="U67" s="53"/>
      <c r="V67" s="53"/>
      <c r="W67" s="53"/>
      <c r="X67" s="53"/>
      <c r="Y67" s="53"/>
      <c r="Z67" s="53"/>
      <c r="AA67" s="53"/>
      <c r="AB67" s="53"/>
      <c r="AC67" s="53"/>
      <c r="AD67" s="53"/>
      <c r="AE67" s="53"/>
      <c r="AF67" s="53"/>
      <c r="AG67" s="53"/>
      <c r="AP67" s="10" t="s">
        <v>207</v>
      </c>
      <c r="AQ67" s="13">
        <f>SUM(AQ3:AQ22)</f>
        <v>0</v>
      </c>
      <c r="AU67" s="9">
        <f t="shared" si="99"/>
        <v>0</v>
      </c>
      <c r="AV67" s="16"/>
      <c r="AW67" s="324" t="s">
        <v>216</v>
      </c>
      <c r="AX67" s="39">
        <f t="shared" si="100"/>
        <v>0</v>
      </c>
      <c r="BA67" s="37"/>
      <c r="BB67" s="17"/>
      <c r="BC67" s="20"/>
      <c r="BD67" s="17"/>
      <c r="BE67" s="3"/>
      <c r="BF67" s="3"/>
      <c r="BG67" s="3"/>
      <c r="BH67" s="3"/>
      <c r="BI67" s="17"/>
      <c r="BJ67" s="7"/>
      <c r="BU67" t="s">
        <v>6</v>
      </c>
      <c r="BV67" t="s">
        <v>18</v>
      </c>
      <c r="BW67" t="s">
        <v>238</v>
      </c>
      <c r="BX67" s="2" t="s">
        <v>19</v>
      </c>
      <c r="BY67" t="s">
        <v>239</v>
      </c>
      <c r="CK67" s="131">
        <f t="shared" si="82"/>
        <v>0</v>
      </c>
      <c r="CL67" s="236"/>
      <c r="CN67" s="123">
        <f>+CN66*CN64</f>
        <v>0</v>
      </c>
      <c r="CO67" s="124" t="s">
        <v>1106</v>
      </c>
      <c r="CQ67" s="123">
        <f>+CQ65*CQ56</f>
        <v>0</v>
      </c>
      <c r="CR67" s="139" t="s">
        <v>444</v>
      </c>
      <c r="CS67" s="121"/>
      <c r="DT67" s="324" t="s">
        <v>136</v>
      </c>
      <c r="DU67" s="39">
        <v>200</v>
      </c>
      <c r="EM67" t="s">
        <v>398</v>
      </c>
    </row>
    <row r="68" spans="1:143" x14ac:dyDescent="0.3">
      <c r="A68" s="51"/>
      <c r="B68" s="51"/>
      <c r="C68" s="51"/>
      <c r="D68" s="52"/>
      <c r="E68" s="52"/>
      <c r="F68" s="95"/>
      <c r="G68" s="51" t="s">
        <v>137</v>
      </c>
      <c r="H68" s="51"/>
      <c r="I68" s="51"/>
      <c r="J68" s="51"/>
      <c r="K68" s="170"/>
      <c r="L68" s="170"/>
      <c r="M68" s="51"/>
      <c r="N68" s="170"/>
      <c r="O68" s="267"/>
      <c r="P68" s="267"/>
      <c r="Q68" s="267"/>
      <c r="R68" s="267"/>
      <c r="S68" s="51"/>
      <c r="T68" s="53"/>
      <c r="U68" s="53"/>
      <c r="V68" s="53"/>
      <c r="W68" s="53"/>
      <c r="X68" s="53"/>
      <c r="Y68" s="53"/>
      <c r="Z68" s="53"/>
      <c r="AA68" s="53"/>
      <c r="AB68" s="53"/>
      <c r="AC68" s="53"/>
      <c r="AD68" s="53"/>
      <c r="AE68" s="53"/>
      <c r="AF68" s="53"/>
      <c r="AG68" s="53"/>
      <c r="AP68" s="10" t="s">
        <v>208</v>
      </c>
      <c r="AQ68" s="9">
        <f>SUM(AQ23:AQ32)</f>
        <v>0</v>
      </c>
      <c r="AU68" s="9">
        <f t="shared" si="99"/>
        <v>0</v>
      </c>
      <c r="AV68" s="16"/>
      <c r="AW68" s="324" t="s">
        <v>135</v>
      </c>
      <c r="AX68" s="39">
        <f t="shared" si="100"/>
        <v>0</v>
      </c>
      <c r="BA68" s="38"/>
      <c r="BB68" s="38"/>
      <c r="BC68" s="20"/>
      <c r="BD68" s="17"/>
      <c r="BE68" s="3"/>
      <c r="BF68" s="3"/>
      <c r="BG68" s="3"/>
      <c r="BH68" s="3"/>
      <c r="BI68" s="17"/>
      <c r="CK68" s="131">
        <f t="shared" si="82"/>
        <v>0</v>
      </c>
      <c r="CL68" s="236"/>
      <c r="CN68" s="120"/>
      <c r="CO68" s="122"/>
      <c r="CQ68" s="120"/>
      <c r="CR68" s="122"/>
      <c r="CS68" s="121"/>
      <c r="DT68" s="324" t="s">
        <v>1008</v>
      </c>
      <c r="DU68" s="39">
        <v>50</v>
      </c>
      <c r="EM68" t="s">
        <v>398</v>
      </c>
    </row>
    <row r="69" spans="1:143" x14ac:dyDescent="0.3">
      <c r="A69" s="51"/>
      <c r="B69" s="51"/>
      <c r="C69" s="63"/>
      <c r="D69" s="52"/>
      <c r="E69" s="52"/>
      <c r="F69" s="95"/>
      <c r="G69" s="51" t="s">
        <v>138</v>
      </c>
      <c r="H69" s="51"/>
      <c r="I69" s="51"/>
      <c r="J69" s="51"/>
      <c r="K69" s="170"/>
      <c r="L69" s="170"/>
      <c r="M69" s="51"/>
      <c r="N69" s="170"/>
      <c r="O69" s="267"/>
      <c r="P69" s="267"/>
      <c r="Q69" s="267"/>
      <c r="R69" s="267"/>
      <c r="S69" s="51"/>
      <c r="T69" s="53"/>
      <c r="U69" s="53"/>
      <c r="V69" s="53"/>
      <c r="W69" s="53"/>
      <c r="X69" s="53"/>
      <c r="Y69" s="53"/>
      <c r="Z69" s="53"/>
      <c r="AA69" s="53"/>
      <c r="AB69" s="53"/>
      <c r="AC69" s="53"/>
      <c r="AD69" s="53"/>
      <c r="AE69" s="53"/>
      <c r="AF69" s="53"/>
      <c r="AG69" s="53"/>
      <c r="AP69" s="10" t="s">
        <v>209</v>
      </c>
      <c r="AQ69" s="9">
        <f>SUM(AQ33:AQ56)</f>
        <v>0</v>
      </c>
      <c r="AU69" s="9">
        <f t="shared" si="99"/>
        <v>0</v>
      </c>
      <c r="AV69" s="16"/>
      <c r="AW69" s="324" t="s">
        <v>136</v>
      </c>
      <c r="AX69" s="39">
        <f t="shared" si="100"/>
        <v>0</v>
      </c>
      <c r="AZ69" s="31">
        <f>IF(SUM(AU31:AU49)&gt;0,1,0)</f>
        <v>0</v>
      </c>
      <c r="BA69" t="s">
        <v>503</v>
      </c>
      <c r="BB69" s="38"/>
      <c r="BC69" s="20"/>
      <c r="BD69" s="17"/>
      <c r="BE69" s="3"/>
      <c r="BF69" s="3"/>
      <c r="BG69" s="3"/>
      <c r="BH69" s="3"/>
      <c r="BI69" s="17"/>
      <c r="CK69" s="120"/>
      <c r="CL69" s="122"/>
      <c r="CN69" s="120"/>
      <c r="CO69" s="122"/>
      <c r="CQ69" s="123">
        <f>IF(SUM(CQ67,CQ54,CQ41,CQ28)&gt;0,1,0)</f>
        <v>0</v>
      </c>
      <c r="CR69" s="124" t="s">
        <v>470</v>
      </c>
      <c r="CS69" s="121"/>
      <c r="DT69" s="324" t="s">
        <v>1134</v>
      </c>
      <c r="DU69" s="39">
        <v>50</v>
      </c>
      <c r="EM69" t="s">
        <v>398</v>
      </c>
    </row>
    <row r="70" spans="1:143" x14ac:dyDescent="0.3">
      <c r="A70" s="51"/>
      <c r="B70" s="51"/>
      <c r="C70" s="51"/>
      <c r="D70" s="52"/>
      <c r="E70" s="7"/>
      <c r="F70" s="339"/>
      <c r="G70" s="170" t="s">
        <v>1232</v>
      </c>
      <c r="H70" s="51"/>
      <c r="I70" s="51"/>
      <c r="J70" s="51"/>
      <c r="K70" s="170"/>
      <c r="L70" s="170"/>
      <c r="M70" s="51"/>
      <c r="N70" s="170"/>
      <c r="O70" s="267"/>
      <c r="P70" s="267"/>
      <c r="Q70" s="267"/>
      <c r="R70" s="267"/>
      <c r="S70" s="51"/>
      <c r="T70" s="53"/>
      <c r="U70" s="53"/>
      <c r="V70" s="53"/>
      <c r="W70" s="53"/>
      <c r="X70" s="53"/>
      <c r="Y70" s="53"/>
      <c r="Z70" s="53"/>
      <c r="AA70" s="53"/>
      <c r="AB70" s="53"/>
      <c r="AC70" s="53"/>
      <c r="AD70" s="53"/>
      <c r="AE70" s="53"/>
      <c r="AF70" s="53"/>
      <c r="AG70" s="53"/>
      <c r="AP70" s="10" t="s">
        <v>210</v>
      </c>
      <c r="AQ70" s="9">
        <f>SUM(AQ57:AQ65)</f>
        <v>0</v>
      </c>
      <c r="AU70" s="9">
        <f t="shared" si="99"/>
        <v>0</v>
      </c>
      <c r="AV70" s="17"/>
      <c r="AW70" s="324" t="s">
        <v>1008</v>
      </c>
      <c r="AX70" s="39">
        <f t="shared" si="100"/>
        <v>0</v>
      </c>
      <c r="BC70" s="20"/>
      <c r="BD70" s="17"/>
      <c r="BE70" s="3"/>
      <c r="BF70" s="3"/>
      <c r="BG70" s="3"/>
      <c r="BH70" s="3"/>
      <c r="BI70" s="17"/>
      <c r="CN70" s="120"/>
      <c r="CO70" s="122"/>
      <c r="CQ70" s="120"/>
      <c r="CR70" s="122"/>
      <c r="CS70" s="121"/>
      <c r="DT70" s="324" t="s">
        <v>134</v>
      </c>
      <c r="DU70" s="39">
        <v>0</v>
      </c>
      <c r="EM70" t="s">
        <v>398</v>
      </c>
    </row>
    <row r="71" spans="1:143" ht="15" thickBot="1" x14ac:dyDescent="0.35">
      <c r="A71" s="51"/>
      <c r="B71" s="51"/>
      <c r="C71" s="51"/>
      <c r="D71" s="52"/>
      <c r="E71" s="52"/>
      <c r="F71" s="339"/>
      <c r="G71" s="170" t="s">
        <v>1233</v>
      </c>
      <c r="H71" s="51"/>
      <c r="I71" s="51"/>
      <c r="J71" s="51"/>
      <c r="K71" s="51"/>
      <c r="L71" s="51"/>
      <c r="M71" s="51"/>
      <c r="N71" s="170"/>
      <c r="O71" s="267"/>
      <c r="P71" s="267"/>
      <c r="Q71" s="267"/>
      <c r="R71" s="267"/>
      <c r="S71" s="51"/>
      <c r="T71" s="53"/>
      <c r="U71" s="53"/>
      <c r="V71" s="53"/>
      <c r="W71" s="53"/>
      <c r="X71" s="53"/>
      <c r="Y71" s="53"/>
      <c r="Z71" s="53"/>
      <c r="AA71" s="53"/>
      <c r="AB71" s="53"/>
      <c r="AC71" s="53"/>
      <c r="AD71" s="53"/>
      <c r="AE71" s="53"/>
      <c r="AF71" s="53"/>
      <c r="AG71" s="53"/>
      <c r="AP71" s="25" t="s">
        <v>204</v>
      </c>
      <c r="AQ71" s="9">
        <f>SUM(AQ67:AQ70)</f>
        <v>0</v>
      </c>
      <c r="AU71" s="9">
        <f t="shared" si="99"/>
        <v>0</v>
      </c>
      <c r="AW71" s="324" t="s">
        <v>1134</v>
      </c>
      <c r="AX71" s="39">
        <f t="shared" si="100"/>
        <v>0</v>
      </c>
      <c r="BC71" s="121"/>
      <c r="BD71" s="121"/>
      <c r="BF71" s="3"/>
      <c r="BG71" s="3"/>
      <c r="BH71" s="3"/>
      <c r="BI71" s="121"/>
      <c r="CK71" s="120">
        <f>AU72</f>
        <v>0</v>
      </c>
      <c r="CL71" s="122" t="s">
        <v>1021</v>
      </c>
      <c r="CN71" s="120"/>
      <c r="CO71" s="122"/>
      <c r="CQ71" s="125"/>
      <c r="CR71" s="126"/>
      <c r="CS71" s="121"/>
      <c r="DA71" s="224" t="s">
        <v>555</v>
      </c>
      <c r="DB71" s="224"/>
      <c r="DD71" s="224" t="s">
        <v>556</v>
      </c>
      <c r="DE71" s="224"/>
      <c r="DG71" s="224" t="s">
        <v>559</v>
      </c>
      <c r="DH71" s="224"/>
      <c r="DJ71" s="224" t="s">
        <v>560</v>
      </c>
      <c r="DK71" s="224"/>
      <c r="DT71" s="324" t="s">
        <v>137</v>
      </c>
      <c r="DU71" s="39">
        <v>200</v>
      </c>
      <c r="EM71" t="s">
        <v>398</v>
      </c>
    </row>
    <row r="72" spans="1:143" x14ac:dyDescent="0.3">
      <c r="A72" s="51"/>
      <c r="B72" s="51"/>
      <c r="C72" s="51"/>
      <c r="D72" s="52"/>
      <c r="E72" s="52"/>
      <c r="F72" s="51"/>
      <c r="G72" s="51"/>
      <c r="H72" s="51"/>
      <c r="I72" s="51"/>
      <c r="J72" s="51"/>
      <c r="K72" s="51"/>
      <c r="L72" s="51"/>
      <c r="M72" s="51"/>
      <c r="N72" s="170"/>
      <c r="O72" s="267"/>
      <c r="P72" s="267"/>
      <c r="Q72" s="267"/>
      <c r="R72" s="267"/>
      <c r="S72" s="51"/>
      <c r="T72" s="53"/>
      <c r="U72" s="53"/>
      <c r="V72" s="53"/>
      <c r="W72" s="53"/>
      <c r="X72" s="53"/>
      <c r="Y72" s="53"/>
      <c r="Z72" s="53"/>
      <c r="AA72" s="53"/>
      <c r="AB72" s="53"/>
      <c r="AC72" s="53"/>
      <c r="AD72" s="53"/>
      <c r="AE72" s="53"/>
      <c r="AF72" s="53"/>
      <c r="AG72" s="53"/>
      <c r="AI72" t="s">
        <v>401</v>
      </c>
      <c r="AJ72" t="str">
        <f>CONCATENATE(AJ3,AJ4,AJ5,AJ6,AJ7,AJ8,AJ9,AJ10,AJ11,AJ12,AJ13,AJ14,AJ15,AJ16,AJ17,AJ18,AJ19,AJ20,AJ21,AJ22)</f>
        <v/>
      </c>
      <c r="AU72" s="9">
        <f t="shared" si="99"/>
        <v>0</v>
      </c>
      <c r="AW72" s="324" t="s">
        <v>134</v>
      </c>
      <c r="AX72" s="39">
        <f t="shared" si="100"/>
        <v>0</v>
      </c>
      <c r="BF72" s="3"/>
      <c r="BG72" s="3"/>
      <c r="BH72" s="3"/>
      <c r="BI72" s="30">
        <f>SUM(BI56:BI58)</f>
        <v>0</v>
      </c>
      <c r="BJ72" s="18" t="s">
        <v>221</v>
      </c>
      <c r="CN72" s="125"/>
      <c r="CO72" s="126"/>
      <c r="CS72" s="121"/>
      <c r="DA72">
        <f>+BE4</f>
        <v>0</v>
      </c>
      <c r="DB72" t="s">
        <v>553</v>
      </c>
      <c r="DD72">
        <f>+BE5</f>
        <v>0</v>
      </c>
      <c r="DE72" t="s">
        <v>143</v>
      </c>
      <c r="DG72">
        <f>+BE6</f>
        <v>0</v>
      </c>
      <c r="DH72" t="s">
        <v>143</v>
      </c>
      <c r="DJ72">
        <f>+BE7</f>
        <v>0</v>
      </c>
      <c r="DK72" t="s">
        <v>143</v>
      </c>
      <c r="DT72" s="324" t="s">
        <v>138</v>
      </c>
      <c r="DU72" s="39">
        <v>200</v>
      </c>
      <c r="EM72" t="s">
        <v>398</v>
      </c>
    </row>
    <row r="73" spans="1:143" x14ac:dyDescent="0.3">
      <c r="A73" s="51"/>
      <c r="B73" s="51"/>
      <c r="C73" s="51"/>
      <c r="D73" s="52"/>
      <c r="E73" s="52"/>
      <c r="F73" s="51"/>
      <c r="G73" s="51"/>
      <c r="H73" s="51"/>
      <c r="I73" s="51"/>
      <c r="J73" s="51"/>
      <c r="K73" s="51"/>
      <c r="L73" s="51"/>
      <c r="M73" s="51"/>
      <c r="N73" s="51"/>
      <c r="O73" s="53"/>
      <c r="P73" s="53"/>
      <c r="Q73" s="53"/>
      <c r="R73" s="53"/>
      <c r="S73" s="53"/>
      <c r="T73" s="53"/>
      <c r="U73" s="53"/>
      <c r="V73" s="53"/>
      <c r="W73" s="53"/>
      <c r="X73" s="53"/>
      <c r="Y73" s="53"/>
      <c r="Z73" s="53"/>
      <c r="AA73" s="53"/>
      <c r="AB73" s="53"/>
      <c r="AC73" s="53"/>
      <c r="AD73" s="53"/>
      <c r="AE73" s="53"/>
      <c r="AF73" s="53"/>
      <c r="AG73" s="53"/>
      <c r="AI73" t="s">
        <v>402</v>
      </c>
      <c r="AJ73" t="str">
        <f>CONCATENATE(AJ23,AJ24,AJ25,AJ26,AJ27,AJ28,AJ29,AJ30,AJ31,AJ32)</f>
        <v/>
      </c>
      <c r="AU73" s="9">
        <f t="shared" si="99"/>
        <v>0</v>
      </c>
      <c r="AW73" s="324" t="s">
        <v>137</v>
      </c>
      <c r="AX73" s="39">
        <f t="shared" si="100"/>
        <v>0</v>
      </c>
      <c r="BI73">
        <f>SUM(BI60)</f>
        <v>1</v>
      </c>
      <c r="BJ73" s="18" t="s">
        <v>222</v>
      </c>
      <c r="CK73" s="123">
        <f>IF(AND(SUM(CK38:CK58,CK60)&gt;0,AU72&gt;0)=TRUE,1,0)</f>
        <v>0</v>
      </c>
      <c r="CL73" s="124" t="s">
        <v>439</v>
      </c>
      <c r="CS73" s="121"/>
      <c r="DA73">
        <f>BH4</f>
        <v>0</v>
      </c>
      <c r="DB73" t="s">
        <v>26</v>
      </c>
      <c r="DC73" t="s">
        <v>613</v>
      </c>
      <c r="DD73">
        <f>+BF5</f>
        <v>0</v>
      </c>
      <c r="DE73" t="s">
        <v>557</v>
      </c>
      <c r="DG73">
        <f>+BF6</f>
        <v>0</v>
      </c>
      <c r="DH73" t="s">
        <v>557</v>
      </c>
      <c r="DJ73">
        <f>+BF7</f>
        <v>0</v>
      </c>
      <c r="DK73" t="s">
        <v>557</v>
      </c>
      <c r="DL73" t="s">
        <v>544</v>
      </c>
      <c r="DT73" s="324" t="s">
        <v>1230</v>
      </c>
      <c r="DU73" s="39">
        <v>0</v>
      </c>
      <c r="EM73" t="s">
        <v>398</v>
      </c>
    </row>
    <row r="74" spans="1:143" x14ac:dyDescent="0.3">
      <c r="A74" s="51"/>
      <c r="B74" s="51"/>
      <c r="C74" s="51"/>
      <c r="D74" s="52"/>
      <c r="E74" s="318"/>
      <c r="F74" s="170"/>
      <c r="G74" s="170"/>
      <c r="H74" s="333"/>
      <c r="I74" s="170"/>
      <c r="J74" s="332"/>
      <c r="K74" s="170"/>
      <c r="L74" s="170"/>
      <c r="M74" s="170"/>
      <c r="N74" s="170"/>
      <c r="O74" s="267"/>
      <c r="P74" s="267"/>
      <c r="Q74" s="267"/>
      <c r="R74" s="267"/>
      <c r="S74" s="267"/>
      <c r="T74" s="267"/>
      <c r="U74" s="267"/>
      <c r="V74" s="267"/>
      <c r="W74" s="267"/>
      <c r="X74" s="267"/>
      <c r="Y74" s="267"/>
      <c r="Z74" s="267"/>
      <c r="AA74" s="267"/>
      <c r="AB74" s="267"/>
      <c r="AC74" s="267"/>
      <c r="AD74" s="267"/>
      <c r="AE74" s="267"/>
      <c r="AF74" s="267"/>
      <c r="AG74" s="267"/>
      <c r="AI74" t="s">
        <v>200</v>
      </c>
      <c r="AJ74" t="str">
        <f>CONCATENATE(AJ33,AJ34,AJ35,AJ36,AJ37,AJ38,AJ39,AJ40,AJ41,AJ42,AJ43,AJ44,AJ45,AJ46,AJ47,AJ48,AJ49,AJ50,AJ51,AJ52,AJ53,AJ54,AJ55,AJ56)</f>
        <v/>
      </c>
      <c r="AU74" s="9">
        <f t="shared" si="99"/>
        <v>0</v>
      </c>
      <c r="AW74" s="324" t="s">
        <v>138</v>
      </c>
      <c r="AX74" s="39">
        <f t="shared" si="100"/>
        <v>0</v>
      </c>
      <c r="BD74" s="30">
        <f>SUM(BD56)</f>
        <v>1</v>
      </c>
      <c r="BE74" s="18" t="s">
        <v>221</v>
      </c>
      <c r="BF74" s="18"/>
      <c r="CK74" s="123">
        <f>IF(OR(CK73=1,CK35=1)=TRUE,1,0)</f>
        <v>0</v>
      </c>
      <c r="CL74" s="124" t="s">
        <v>440</v>
      </c>
      <c r="CN74" s="118" t="s">
        <v>1193</v>
      </c>
      <c r="CO74" s="119"/>
      <c r="CS74" s="121"/>
      <c r="DA74">
        <f>+BI4</f>
        <v>0</v>
      </c>
      <c r="DB74" t="s">
        <v>26</v>
      </c>
      <c r="DC74" t="s">
        <v>614</v>
      </c>
      <c r="DD74">
        <f>+BG5</f>
        <v>0</v>
      </c>
      <c r="DE74" t="s">
        <v>558</v>
      </c>
      <c r="DG74">
        <f>+BG6</f>
        <v>0</v>
      </c>
      <c r="DH74" t="s">
        <v>558</v>
      </c>
      <c r="DJ74">
        <f>+BG7</f>
        <v>0</v>
      </c>
      <c r="DK74" t="s">
        <v>558</v>
      </c>
      <c r="DL74" t="s">
        <v>561</v>
      </c>
      <c r="DT74" s="324" t="s">
        <v>1231</v>
      </c>
      <c r="DU74" s="39">
        <v>0</v>
      </c>
      <c r="EM74" t="s">
        <v>398</v>
      </c>
    </row>
    <row r="75" spans="1:143" x14ac:dyDescent="0.3">
      <c r="A75" s="51"/>
      <c r="B75" s="51"/>
      <c r="C75" s="51"/>
      <c r="D75" s="52"/>
      <c r="E75" s="318"/>
      <c r="F75" s="170"/>
      <c r="G75" s="332"/>
      <c r="H75" s="333"/>
      <c r="I75" s="317"/>
      <c r="J75" s="332"/>
      <c r="K75" s="332"/>
      <c r="L75" s="332"/>
      <c r="M75" s="170"/>
      <c r="N75" s="170"/>
      <c r="O75" s="267"/>
      <c r="P75" s="267"/>
      <c r="Q75" s="267"/>
      <c r="R75" s="267"/>
      <c r="S75" s="267"/>
      <c r="T75" s="267"/>
      <c r="U75" s="267"/>
      <c r="V75" s="267"/>
      <c r="W75" s="267"/>
      <c r="X75" s="267"/>
      <c r="Y75" s="267"/>
      <c r="Z75" s="267"/>
      <c r="AA75" s="267"/>
      <c r="AB75" s="267"/>
      <c r="AC75" s="267"/>
      <c r="AD75" s="267"/>
      <c r="AE75" s="267"/>
      <c r="AF75" s="267"/>
      <c r="AG75" s="267"/>
      <c r="AI75" t="s">
        <v>403</v>
      </c>
      <c r="AJ75" t="str">
        <f>CONCATENATE(AJ57,AJ58,AJ59,AJ60,AJ61,AJ62,AJ63,AJ64,AJ65)</f>
        <v/>
      </c>
      <c r="AU75" s="9">
        <f t="shared" si="99"/>
        <v>0</v>
      </c>
      <c r="AW75" s="38" t="s">
        <v>1232</v>
      </c>
      <c r="AX75" s="39">
        <f t="shared" si="100"/>
        <v>0</v>
      </c>
      <c r="BD75">
        <f>SUM(BD58:BD60)</f>
        <v>0</v>
      </c>
      <c r="BE75" s="18" t="s">
        <v>222</v>
      </c>
      <c r="BF75" s="18"/>
      <c r="CN75" s="120">
        <f>BD11</f>
        <v>0</v>
      </c>
      <c r="CO75" s="122" t="s">
        <v>1194</v>
      </c>
      <c r="CS75" s="121"/>
      <c r="DA75">
        <f>+BJ4</f>
        <v>0</v>
      </c>
      <c r="DB75" t="s">
        <v>554</v>
      </c>
      <c r="DT75" s="38"/>
      <c r="EM75" t="s">
        <v>398</v>
      </c>
    </row>
    <row r="76" spans="1:143" x14ac:dyDescent="0.3">
      <c r="A76" s="51"/>
      <c r="B76" s="51"/>
      <c r="C76" s="51"/>
      <c r="D76" s="52"/>
      <c r="E76" s="318"/>
      <c r="F76" s="170"/>
      <c r="G76" s="332"/>
      <c r="H76" s="333"/>
      <c r="I76" s="317"/>
      <c r="J76" s="332"/>
      <c r="K76" s="332"/>
      <c r="L76" s="332"/>
      <c r="M76" s="170"/>
      <c r="N76" s="170"/>
      <c r="O76" s="267"/>
      <c r="P76" s="267"/>
      <c r="Q76" s="267"/>
      <c r="R76" s="267"/>
      <c r="S76" s="267"/>
      <c r="T76" s="267"/>
      <c r="U76" s="267"/>
      <c r="V76" s="267"/>
      <c r="W76" s="267"/>
      <c r="X76" s="267"/>
      <c r="Y76" s="267"/>
      <c r="Z76" s="267"/>
      <c r="AA76" s="267"/>
      <c r="AB76" s="267"/>
      <c r="AC76" s="267"/>
      <c r="AD76" s="267"/>
      <c r="AE76" s="267"/>
      <c r="AF76" s="267"/>
      <c r="AG76" s="267"/>
      <c r="AU76" s="9">
        <f t="shared" si="99"/>
        <v>0</v>
      </c>
      <c r="AW76" t="s">
        <v>1233</v>
      </c>
      <c r="AX76" s="39">
        <f t="shared" si="100"/>
        <v>0</v>
      </c>
      <c r="BD76">
        <f>SUM(BD62:BD63)</f>
        <v>0</v>
      </c>
      <c r="BE76" s="18" t="s">
        <v>223</v>
      </c>
      <c r="BF76" s="18"/>
      <c r="CK76" t="s">
        <v>635</v>
      </c>
      <c r="CN76" s="120">
        <f>BH12</f>
        <v>0</v>
      </c>
      <c r="CO76" s="122" t="s">
        <v>1190</v>
      </c>
      <c r="CS76" s="121"/>
      <c r="DT76" s="38"/>
      <c r="EM76" t="s">
        <v>398</v>
      </c>
    </row>
    <row r="77" spans="1:143" x14ac:dyDescent="0.3">
      <c r="A77" s="3"/>
      <c r="B77" s="3"/>
      <c r="C77" s="3" t="s">
        <v>1244</v>
      </c>
      <c r="D77" s="7"/>
      <c r="F77" s="248"/>
      <c r="G77" s="248"/>
      <c r="H77" s="248"/>
      <c r="I77" s="248"/>
      <c r="J77" s="248"/>
      <c r="K77" s="249"/>
      <c r="L77" s="249"/>
      <c r="AU77" s="17">
        <f>SUM(AU62:AU76)</f>
        <v>0</v>
      </c>
      <c r="AW77" s="28" t="s">
        <v>1157</v>
      </c>
      <c r="AX77" s="44">
        <f>SUM(AX62:AX76)</f>
        <v>0</v>
      </c>
      <c r="CK77">
        <f>+AU3</f>
        <v>0</v>
      </c>
      <c r="CL77" s="137" t="s">
        <v>117</v>
      </c>
      <c r="CN77" s="127">
        <f>+CN76*CN75</f>
        <v>0</v>
      </c>
      <c r="CO77" s="299" t="s">
        <v>482</v>
      </c>
      <c r="CS77" s="121"/>
      <c r="DT77" s="38"/>
      <c r="EM77" t="s">
        <v>398</v>
      </c>
    </row>
    <row r="78" spans="1:143" x14ac:dyDescent="0.3">
      <c r="F78" s="248"/>
      <c r="G78" s="248"/>
      <c r="H78" s="248"/>
      <c r="I78" s="248"/>
      <c r="J78" s="248"/>
      <c r="K78" s="249"/>
      <c r="L78" s="249"/>
      <c r="CK78">
        <f>+AU10</f>
        <v>0</v>
      </c>
      <c r="CL78" s="137" t="s">
        <v>116</v>
      </c>
      <c r="CS78" s="121"/>
      <c r="DT78" s="38"/>
      <c r="EM78" t="s">
        <v>398</v>
      </c>
    </row>
    <row r="79" spans="1:143" x14ac:dyDescent="0.3">
      <c r="F79" s="248"/>
      <c r="G79" s="248"/>
      <c r="H79" s="248"/>
      <c r="I79" s="248"/>
      <c r="J79" s="248"/>
      <c r="K79" s="249"/>
      <c r="L79" s="249"/>
      <c r="AX79" s="394" t="s">
        <v>25</v>
      </c>
      <c r="AY79" s="394"/>
      <c r="AZ79" s="394"/>
      <c r="CS79" s="121"/>
      <c r="EM79" t="s">
        <v>398</v>
      </c>
    </row>
    <row r="80" spans="1:143" x14ac:dyDescent="0.3">
      <c r="F80" s="248"/>
      <c r="G80" s="248"/>
      <c r="H80" s="248"/>
      <c r="I80" s="248"/>
      <c r="J80" s="248"/>
      <c r="K80" s="249"/>
      <c r="L80" s="249"/>
      <c r="AX80" s="9">
        <f>IF(J43="",0,1)</f>
        <v>0</v>
      </c>
      <c r="AY80" s="43">
        <f>DU55*AX80</f>
        <v>0</v>
      </c>
      <c r="AZ80" s="238" t="s">
        <v>641</v>
      </c>
      <c r="CE80">
        <f>+CE64+CE46+CE29+CE17</f>
        <v>0</v>
      </c>
      <c r="CH80" s="42">
        <f>+CH60</f>
        <v>0</v>
      </c>
      <c r="CK80">
        <f>+CK74</f>
        <v>0</v>
      </c>
      <c r="CN80">
        <f>+CN55+CN48+CN36+CN29+CN21+CN13+CN67+CN77</f>
        <v>0</v>
      </c>
      <c r="CQ80">
        <f>+CQ69+CQ16</f>
        <v>0</v>
      </c>
      <c r="CS80" s="121"/>
      <c r="CT80">
        <f>+CT58+CT51+CT27+CT12</f>
        <v>0</v>
      </c>
      <c r="CW80">
        <f>+CW34+CW16+CW52+CW65</f>
        <v>0</v>
      </c>
      <c r="CY80">
        <f>SUM(CE80:CX80)</f>
        <v>0</v>
      </c>
      <c r="CZ80" t="s">
        <v>640</v>
      </c>
      <c r="EM80" t="s">
        <v>398</v>
      </c>
    </row>
    <row r="81" spans="6:143" x14ac:dyDescent="0.3">
      <c r="F81" s="248"/>
      <c r="G81" s="248"/>
      <c r="H81" s="248"/>
      <c r="I81" s="248"/>
      <c r="J81" s="248"/>
      <c r="K81" s="249"/>
      <c r="L81" s="249"/>
      <c r="AX81" s="9">
        <f>IF(J44="",0,1)</f>
        <v>0</v>
      </c>
      <c r="AY81" s="43">
        <f>DU56*AX81</f>
        <v>0</v>
      </c>
      <c r="AZ81" s="151" t="s">
        <v>203</v>
      </c>
      <c r="CE81" t="s">
        <v>636</v>
      </c>
      <c r="CH81" t="s">
        <v>636</v>
      </c>
      <c r="CK81" t="s">
        <v>636</v>
      </c>
      <c r="CN81" t="s">
        <v>636</v>
      </c>
      <c r="CQ81" t="s">
        <v>636</v>
      </c>
      <c r="CS81" s="121"/>
      <c r="CT81" t="s">
        <v>636</v>
      </c>
      <c r="CW81" t="s">
        <v>636</v>
      </c>
      <c r="EM81" t="s">
        <v>398</v>
      </c>
    </row>
    <row r="82" spans="6:143" x14ac:dyDescent="0.3">
      <c r="F82" s="248"/>
      <c r="G82" s="248"/>
      <c r="H82" s="248"/>
      <c r="I82" s="248"/>
      <c r="J82" s="248"/>
      <c r="K82" s="249"/>
      <c r="L82" s="249"/>
      <c r="AX82" s="9">
        <f>IF(J45="",0,1)</f>
        <v>0</v>
      </c>
      <c r="AY82" s="43">
        <f>DU57*AX82</f>
        <v>0</v>
      </c>
      <c r="AZ82" s="151" t="s">
        <v>508</v>
      </c>
      <c r="CS82" s="121"/>
      <c r="EM82" t="s">
        <v>398</v>
      </c>
    </row>
    <row r="83" spans="6:143" x14ac:dyDescent="0.3">
      <c r="F83" s="248"/>
      <c r="G83" s="248"/>
      <c r="H83" s="248"/>
      <c r="I83" s="248"/>
      <c r="J83" s="248"/>
      <c r="K83" s="249"/>
      <c r="L83" s="249"/>
      <c r="AX83" s="9"/>
      <c r="AY83" s="16"/>
      <c r="AZ83" s="151"/>
      <c r="CS83" s="121"/>
      <c r="EM83" t="s">
        <v>398</v>
      </c>
    </row>
    <row r="84" spans="6:143" x14ac:dyDescent="0.3">
      <c r="F84" s="248"/>
      <c r="G84" s="248"/>
      <c r="H84" s="248"/>
      <c r="I84" s="248"/>
      <c r="J84" s="248"/>
      <c r="K84" s="249"/>
      <c r="L84" s="249"/>
      <c r="AX84" s="9"/>
      <c r="AY84" s="16"/>
      <c r="AZ84" s="3"/>
      <c r="CS84" s="121"/>
      <c r="EM84" t="s">
        <v>398</v>
      </c>
    </row>
    <row r="85" spans="6:143" x14ac:dyDescent="0.3">
      <c r="G85" s="249"/>
      <c r="H85" s="249"/>
      <c r="I85" s="251"/>
      <c r="J85" s="249"/>
      <c r="K85" s="249"/>
      <c r="L85" s="249"/>
      <c r="AX85" s="9"/>
      <c r="AY85" s="16"/>
      <c r="AZ85" s="3"/>
      <c r="CS85" s="121"/>
      <c r="EM85" t="s">
        <v>398</v>
      </c>
    </row>
    <row r="86" spans="6:143" x14ac:dyDescent="0.3">
      <c r="I86" s="248"/>
      <c r="AX86" s="27">
        <f>SUM(AX80:AX85)</f>
        <v>0</v>
      </c>
      <c r="AY86" s="47">
        <f>SUM(AY80:AY85)</f>
        <v>0</v>
      </c>
      <c r="AZ86" s="3" t="s">
        <v>1156</v>
      </c>
      <c r="CK86" s="55" t="s">
        <v>1010</v>
      </c>
      <c r="CS86" s="121"/>
      <c r="EM86" t="s">
        <v>398</v>
      </c>
    </row>
    <row r="87" spans="6:143" x14ac:dyDescent="0.3">
      <c r="I87" s="248"/>
      <c r="CK87" s="55" t="s">
        <v>1016</v>
      </c>
      <c r="CS87" s="121"/>
      <c r="EM87" t="s">
        <v>398</v>
      </c>
    </row>
    <row r="88" spans="6:143" x14ac:dyDescent="0.3">
      <c r="I88" s="248"/>
      <c r="CK88" s="55" t="s">
        <v>1011</v>
      </c>
      <c r="CS88" s="121"/>
      <c r="EM88" t="s">
        <v>398</v>
      </c>
    </row>
    <row r="89" spans="6:143" x14ac:dyDescent="0.3">
      <c r="I89" s="248"/>
      <c r="CK89" s="55" t="s">
        <v>1012</v>
      </c>
      <c r="CS89" s="121"/>
      <c r="EM89" t="s">
        <v>398</v>
      </c>
    </row>
    <row r="90" spans="6:143" x14ac:dyDescent="0.3">
      <c r="I90" s="248"/>
      <c r="CK90" s="55" t="s">
        <v>1013</v>
      </c>
      <c r="CS90" s="121"/>
      <c r="EM90" t="s">
        <v>398</v>
      </c>
    </row>
    <row r="91" spans="6:143" x14ac:dyDescent="0.3">
      <c r="I91" s="248"/>
      <c r="CK91" s="55" t="s">
        <v>1014</v>
      </c>
      <c r="CS91" s="121"/>
      <c r="EM91" t="s">
        <v>398</v>
      </c>
    </row>
    <row r="92" spans="6:143" x14ac:dyDescent="0.3">
      <c r="CK92" s="55" t="s">
        <v>1015</v>
      </c>
      <c r="CS92" s="121"/>
      <c r="EM92" t="s">
        <v>398</v>
      </c>
    </row>
    <row r="93" spans="6:143" x14ac:dyDescent="0.3">
      <c r="CS93" s="121"/>
      <c r="EM93" t="s">
        <v>398</v>
      </c>
    </row>
    <row r="94" spans="6:143" x14ac:dyDescent="0.3">
      <c r="CS94" s="121"/>
      <c r="EM94" t="s">
        <v>398</v>
      </c>
    </row>
    <row r="95" spans="6:143" x14ac:dyDescent="0.3">
      <c r="CS95" s="121"/>
      <c r="EM95" t="s">
        <v>398</v>
      </c>
    </row>
    <row r="96" spans="6:143" x14ac:dyDescent="0.3">
      <c r="CS96" s="121"/>
      <c r="EM96" t="s">
        <v>398</v>
      </c>
    </row>
    <row r="97" spans="97:143" x14ac:dyDescent="0.3">
      <c r="CS97" s="121"/>
      <c r="EM97" t="s">
        <v>398</v>
      </c>
    </row>
    <row r="98" spans="97:143" x14ac:dyDescent="0.3">
      <c r="CS98" s="121"/>
      <c r="EM98" t="s">
        <v>398</v>
      </c>
    </row>
    <row r="99" spans="97:143" x14ac:dyDescent="0.3">
      <c r="CS99" s="121"/>
      <c r="EM99" t="s">
        <v>398</v>
      </c>
    </row>
    <row r="100" spans="97:143" x14ac:dyDescent="0.3">
      <c r="CS100" s="121"/>
      <c r="EM100" t="s">
        <v>398</v>
      </c>
    </row>
    <row r="101" spans="97:143" x14ac:dyDescent="0.3">
      <c r="CS101" s="121"/>
      <c r="EM101" t="s">
        <v>398</v>
      </c>
    </row>
    <row r="102" spans="97:143" x14ac:dyDescent="0.3">
      <c r="CS102" s="121"/>
      <c r="EM102" t="s">
        <v>398</v>
      </c>
    </row>
    <row r="103" spans="97:143" x14ac:dyDescent="0.3">
      <c r="CS103" s="121"/>
      <c r="EM103" t="s">
        <v>398</v>
      </c>
    </row>
    <row r="104" spans="97:143" x14ac:dyDescent="0.3">
      <c r="CS104" s="121"/>
      <c r="EM104" t="s">
        <v>398</v>
      </c>
    </row>
    <row r="105" spans="97:143" x14ac:dyDescent="0.3">
      <c r="CS105" s="121"/>
      <c r="EM105" t="s">
        <v>398</v>
      </c>
    </row>
    <row r="106" spans="97:143" x14ac:dyDescent="0.3">
      <c r="CS106" s="121"/>
      <c r="EM106" t="s">
        <v>398</v>
      </c>
    </row>
    <row r="107" spans="97:143" x14ac:dyDescent="0.3">
      <c r="CS107" s="121"/>
      <c r="EM107" t="s">
        <v>398</v>
      </c>
    </row>
    <row r="108" spans="97:143" x14ac:dyDescent="0.3">
      <c r="CS108" s="121"/>
      <c r="EM108" t="s">
        <v>398</v>
      </c>
    </row>
    <row r="109" spans="97:143" x14ac:dyDescent="0.3">
      <c r="CS109" s="121"/>
      <c r="EM109" t="s">
        <v>398</v>
      </c>
    </row>
    <row r="110" spans="97:143" x14ac:dyDescent="0.3">
      <c r="CS110" s="121"/>
      <c r="EM110" t="s">
        <v>398</v>
      </c>
    </row>
    <row r="111" spans="97:143" x14ac:dyDescent="0.3">
      <c r="CS111" s="121"/>
      <c r="EM111" t="s">
        <v>398</v>
      </c>
    </row>
    <row r="112" spans="97:143" x14ac:dyDescent="0.3">
      <c r="CS112" s="121"/>
      <c r="EM112" t="s">
        <v>398</v>
      </c>
    </row>
    <row r="113" spans="97:143" x14ac:dyDescent="0.3">
      <c r="CS113" s="121"/>
      <c r="EM113" t="s">
        <v>398</v>
      </c>
    </row>
    <row r="114" spans="97:143" x14ac:dyDescent="0.3">
      <c r="CS114" s="121"/>
      <c r="EM114" t="s">
        <v>398</v>
      </c>
    </row>
    <row r="115" spans="97:143" x14ac:dyDescent="0.3">
      <c r="CS115" s="121"/>
      <c r="EM115" t="s">
        <v>398</v>
      </c>
    </row>
    <row r="116" spans="97:143" x14ac:dyDescent="0.3">
      <c r="CS116" s="121"/>
      <c r="EM116" t="s">
        <v>398</v>
      </c>
    </row>
    <row r="117" spans="97:143" x14ac:dyDescent="0.3">
      <c r="CS117" s="121"/>
      <c r="EM117" t="s">
        <v>398</v>
      </c>
    </row>
    <row r="118" spans="97:143" x14ac:dyDescent="0.3">
      <c r="CS118" s="121"/>
      <c r="EM118" t="s">
        <v>398</v>
      </c>
    </row>
    <row r="119" spans="97:143" x14ac:dyDescent="0.3">
      <c r="CS119" s="121"/>
      <c r="EM119" t="s">
        <v>398</v>
      </c>
    </row>
    <row r="120" spans="97:143" x14ac:dyDescent="0.3">
      <c r="CS120" s="121"/>
      <c r="EM120" t="s">
        <v>398</v>
      </c>
    </row>
    <row r="121" spans="97:143" x14ac:dyDescent="0.3">
      <c r="CS121" s="121"/>
      <c r="EM121" t="s">
        <v>398</v>
      </c>
    </row>
    <row r="122" spans="97:143" x14ac:dyDescent="0.3">
      <c r="CS122" s="121"/>
      <c r="EM122" t="s">
        <v>398</v>
      </c>
    </row>
    <row r="123" spans="97:143" x14ac:dyDescent="0.3">
      <c r="CS123" s="121"/>
      <c r="EM123" t="s">
        <v>398</v>
      </c>
    </row>
    <row r="124" spans="97:143" x14ac:dyDescent="0.3">
      <c r="CS124" s="121"/>
      <c r="EM124" t="s">
        <v>398</v>
      </c>
    </row>
    <row r="125" spans="97:143" x14ac:dyDescent="0.3">
      <c r="CS125" s="121"/>
      <c r="EM125" t="s">
        <v>398</v>
      </c>
    </row>
    <row r="126" spans="97:143" x14ac:dyDescent="0.3">
      <c r="CS126" s="121"/>
      <c r="EM126" t="s">
        <v>398</v>
      </c>
    </row>
    <row r="127" spans="97:143" x14ac:dyDescent="0.3">
      <c r="CS127" s="121"/>
      <c r="EM127" t="s">
        <v>398</v>
      </c>
    </row>
    <row r="128" spans="97:143" x14ac:dyDescent="0.3">
      <c r="CS128" s="121"/>
      <c r="EM128" t="s">
        <v>398</v>
      </c>
    </row>
    <row r="129" spans="97:143" x14ac:dyDescent="0.3">
      <c r="CS129" s="121"/>
      <c r="EM129" t="s">
        <v>398</v>
      </c>
    </row>
    <row r="130" spans="97:143" x14ac:dyDescent="0.3">
      <c r="CS130" s="121"/>
      <c r="EM130" t="s">
        <v>398</v>
      </c>
    </row>
    <row r="131" spans="97:143" x14ac:dyDescent="0.3">
      <c r="CS131" s="121"/>
      <c r="EM131" t="s">
        <v>398</v>
      </c>
    </row>
    <row r="132" spans="97:143" x14ac:dyDescent="0.3">
      <c r="CS132" s="121"/>
      <c r="EM132" t="s">
        <v>398</v>
      </c>
    </row>
    <row r="133" spans="97:143" x14ac:dyDescent="0.3">
      <c r="CS133" s="121"/>
      <c r="EM133" t="s">
        <v>398</v>
      </c>
    </row>
    <row r="134" spans="97:143" x14ac:dyDescent="0.3">
      <c r="CS134" s="121"/>
      <c r="EM134" t="s">
        <v>398</v>
      </c>
    </row>
    <row r="135" spans="97:143" x14ac:dyDescent="0.3">
      <c r="CS135" s="121"/>
      <c r="EM135" t="s">
        <v>398</v>
      </c>
    </row>
    <row r="136" spans="97:143" x14ac:dyDescent="0.3">
      <c r="CS136" s="121"/>
      <c r="EM136" t="s">
        <v>398</v>
      </c>
    </row>
    <row r="137" spans="97:143" x14ac:dyDescent="0.3">
      <c r="CS137" s="121"/>
      <c r="EM137" t="s">
        <v>398</v>
      </c>
    </row>
    <row r="138" spans="97:143" x14ac:dyDescent="0.3">
      <c r="CS138" s="121"/>
      <c r="EM138" t="s">
        <v>398</v>
      </c>
    </row>
    <row r="139" spans="97:143" x14ac:dyDescent="0.3">
      <c r="CS139" s="121"/>
      <c r="EM139" t="s">
        <v>398</v>
      </c>
    </row>
    <row r="140" spans="97:143" x14ac:dyDescent="0.3">
      <c r="CS140" s="121"/>
      <c r="EM140" t="s">
        <v>398</v>
      </c>
    </row>
    <row r="141" spans="97:143" x14ac:dyDescent="0.3">
      <c r="CS141" s="121"/>
      <c r="EM141" t="s">
        <v>398</v>
      </c>
    </row>
    <row r="142" spans="97:143" x14ac:dyDescent="0.3">
      <c r="CS142" s="121"/>
      <c r="EM142" t="s">
        <v>398</v>
      </c>
    </row>
    <row r="143" spans="97:143" x14ac:dyDescent="0.3">
      <c r="CS143" s="121"/>
      <c r="EM143" t="s">
        <v>398</v>
      </c>
    </row>
    <row r="144" spans="97:143" x14ac:dyDescent="0.3">
      <c r="CS144" s="121"/>
      <c r="EM144" t="s">
        <v>398</v>
      </c>
    </row>
    <row r="145" spans="97:143" x14ac:dyDescent="0.3">
      <c r="CS145" s="121"/>
      <c r="EM145" t="s">
        <v>398</v>
      </c>
    </row>
    <row r="146" spans="97:143" x14ac:dyDescent="0.3">
      <c r="CS146" s="121"/>
      <c r="EM146" t="s">
        <v>398</v>
      </c>
    </row>
    <row r="147" spans="97:143" x14ac:dyDescent="0.3">
      <c r="CS147" s="121"/>
      <c r="EM147" t="s">
        <v>398</v>
      </c>
    </row>
    <row r="148" spans="97:143" x14ac:dyDescent="0.3">
      <c r="CS148" s="121"/>
      <c r="EM148" t="s">
        <v>398</v>
      </c>
    </row>
    <row r="149" spans="97:143" x14ac:dyDescent="0.3">
      <c r="CS149" s="121"/>
      <c r="EM149" t="s">
        <v>398</v>
      </c>
    </row>
    <row r="150" spans="97:143" x14ac:dyDescent="0.3">
      <c r="CS150" s="121"/>
      <c r="EM150" t="s">
        <v>398</v>
      </c>
    </row>
    <row r="151" spans="97:143" x14ac:dyDescent="0.3">
      <c r="EM151" t="s">
        <v>398</v>
      </c>
    </row>
    <row r="152" spans="97:143" x14ac:dyDescent="0.3">
      <c r="EM152" t="s">
        <v>398</v>
      </c>
    </row>
    <row r="153" spans="97:143" x14ac:dyDescent="0.3">
      <c r="EM153" t="s">
        <v>398</v>
      </c>
    </row>
    <row r="154" spans="97:143" x14ac:dyDescent="0.3">
      <c r="EM154" t="s">
        <v>398</v>
      </c>
    </row>
    <row r="155" spans="97:143" x14ac:dyDescent="0.3">
      <c r="EM155" t="s">
        <v>398</v>
      </c>
    </row>
    <row r="156" spans="97:143" x14ac:dyDescent="0.3">
      <c r="EM156" t="s">
        <v>398</v>
      </c>
    </row>
    <row r="157" spans="97:143" x14ac:dyDescent="0.3">
      <c r="EM157" t="s">
        <v>398</v>
      </c>
    </row>
    <row r="158" spans="97:143" x14ac:dyDescent="0.3">
      <c r="EM158" t="s">
        <v>398</v>
      </c>
    </row>
    <row r="159" spans="97:143" x14ac:dyDescent="0.3">
      <c r="EM159" t="s">
        <v>398</v>
      </c>
    </row>
    <row r="160" spans="97:143" x14ac:dyDescent="0.3">
      <c r="EM160" t="s">
        <v>398</v>
      </c>
    </row>
    <row r="161" spans="143:143" x14ac:dyDescent="0.3">
      <c r="EM161" t="s">
        <v>398</v>
      </c>
    </row>
    <row r="162" spans="143:143" x14ac:dyDescent="0.3">
      <c r="EM162" t="s">
        <v>398</v>
      </c>
    </row>
    <row r="163" spans="143:143" x14ac:dyDescent="0.3">
      <c r="EM163" t="s">
        <v>398</v>
      </c>
    </row>
    <row r="164" spans="143:143" x14ac:dyDescent="0.3">
      <c r="EM164" t="s">
        <v>398</v>
      </c>
    </row>
    <row r="165" spans="143:143" x14ac:dyDescent="0.3">
      <c r="EM165" t="s">
        <v>398</v>
      </c>
    </row>
    <row r="166" spans="143:143" x14ac:dyDescent="0.3">
      <c r="EM166" t="s">
        <v>398</v>
      </c>
    </row>
    <row r="167" spans="143:143" x14ac:dyDescent="0.3">
      <c r="EM167" t="s">
        <v>398</v>
      </c>
    </row>
    <row r="168" spans="143:143" x14ac:dyDescent="0.3">
      <c r="EM168" t="s">
        <v>398</v>
      </c>
    </row>
    <row r="169" spans="143:143" x14ac:dyDescent="0.3">
      <c r="EM169" t="s">
        <v>398</v>
      </c>
    </row>
    <row r="170" spans="143:143" x14ac:dyDescent="0.3">
      <c r="EM170" t="s">
        <v>398</v>
      </c>
    </row>
    <row r="171" spans="143:143" x14ac:dyDescent="0.3">
      <c r="EM171" t="s">
        <v>398</v>
      </c>
    </row>
    <row r="172" spans="143:143" x14ac:dyDescent="0.3">
      <c r="EM172" t="s">
        <v>398</v>
      </c>
    </row>
    <row r="173" spans="143:143" x14ac:dyDescent="0.3">
      <c r="EM173" t="s">
        <v>398</v>
      </c>
    </row>
    <row r="174" spans="143:143" x14ac:dyDescent="0.3">
      <c r="EM174" t="s">
        <v>398</v>
      </c>
    </row>
    <row r="175" spans="143:143" x14ac:dyDescent="0.3">
      <c r="EM175" t="s">
        <v>398</v>
      </c>
    </row>
    <row r="176" spans="143:143" x14ac:dyDescent="0.3">
      <c r="EM176" t="s">
        <v>398</v>
      </c>
    </row>
    <row r="177" spans="1:143" x14ac:dyDescent="0.3">
      <c r="EM177" t="s">
        <v>398</v>
      </c>
    </row>
    <row r="178" spans="1:143" x14ac:dyDescent="0.3">
      <c r="EM178" t="s">
        <v>398</v>
      </c>
    </row>
    <row r="179" spans="1:143" x14ac:dyDescent="0.3">
      <c r="EM179" t="s">
        <v>398</v>
      </c>
    </row>
    <row r="180" spans="1:143" x14ac:dyDescent="0.3">
      <c r="EM180" t="s">
        <v>398</v>
      </c>
    </row>
    <row r="181" spans="1:143" x14ac:dyDescent="0.3">
      <c r="G181" s="252"/>
      <c r="K181" s="252"/>
      <c r="P181" s="252"/>
      <c r="EM181" t="s">
        <v>398</v>
      </c>
    </row>
    <row r="182" spans="1:143" x14ac:dyDescent="0.3">
      <c r="E182" s="254"/>
      <c r="F182" s="253"/>
      <c r="G182" s="253"/>
      <c r="H182" s="253"/>
      <c r="I182" s="253"/>
      <c r="J182" s="253"/>
      <c r="K182" s="253"/>
      <c r="L182" s="253"/>
      <c r="M182" s="253"/>
      <c r="N182" s="253"/>
      <c r="O182" s="255"/>
      <c r="P182" s="255"/>
      <c r="Q182" s="255"/>
      <c r="R182" s="255"/>
      <c r="S182" s="255"/>
      <c r="T182" s="255"/>
      <c r="U182" s="255"/>
      <c r="V182" s="255"/>
      <c r="W182" s="255"/>
      <c r="X182" s="255"/>
      <c r="Y182" s="255"/>
      <c r="Z182" s="255"/>
      <c r="AA182" s="255"/>
      <c r="AB182" s="255"/>
      <c r="AC182" s="255"/>
      <c r="AD182" s="255"/>
      <c r="AE182" s="255"/>
      <c r="AF182" s="255"/>
      <c r="AG182" s="255"/>
      <c r="EM182" t="s">
        <v>398</v>
      </c>
    </row>
    <row r="183" spans="1:143" ht="15" customHeight="1" x14ac:dyDescent="0.3">
      <c r="E183" s="254"/>
      <c r="F183" s="253"/>
      <c r="G183" s="253"/>
      <c r="H183" s="253"/>
      <c r="I183" s="253"/>
      <c r="J183" s="253"/>
      <c r="K183" s="253"/>
      <c r="L183" s="253"/>
      <c r="M183" s="253"/>
      <c r="N183" s="253"/>
      <c r="O183" s="255"/>
      <c r="P183" s="255"/>
      <c r="Q183" s="255"/>
      <c r="R183" s="255"/>
      <c r="S183" s="255"/>
      <c r="T183" s="255"/>
      <c r="U183" s="255"/>
      <c r="V183" s="255"/>
      <c r="W183" s="255"/>
      <c r="X183" s="255"/>
      <c r="Y183" s="255"/>
      <c r="Z183" s="255"/>
      <c r="AA183" s="255"/>
      <c r="AB183" s="255"/>
      <c r="AC183" s="255"/>
      <c r="AD183" s="255"/>
      <c r="AE183" s="255"/>
      <c r="AF183" s="255"/>
      <c r="AG183" s="255"/>
      <c r="EM183" t="s">
        <v>398</v>
      </c>
    </row>
    <row r="184" spans="1:143" ht="15" customHeight="1" x14ac:dyDescent="0.3">
      <c r="E184" s="254"/>
      <c r="F184" s="253"/>
      <c r="G184" s="253"/>
      <c r="H184" s="253"/>
      <c r="I184" s="253"/>
      <c r="J184" s="253"/>
      <c r="K184" s="253"/>
      <c r="L184" s="253"/>
      <c r="M184" s="253"/>
      <c r="N184" s="253"/>
      <c r="O184" s="255"/>
      <c r="P184" s="255"/>
      <c r="Q184" s="255"/>
      <c r="R184" s="255"/>
      <c r="S184" s="255"/>
      <c r="T184" s="255"/>
      <c r="U184" s="255"/>
      <c r="V184" s="255"/>
      <c r="W184" s="255"/>
      <c r="X184" s="255"/>
      <c r="Y184" s="255"/>
      <c r="Z184" s="255"/>
      <c r="AA184" s="255"/>
      <c r="AB184" s="255"/>
      <c r="AC184" s="255"/>
      <c r="AD184" s="255"/>
      <c r="AE184" s="255"/>
      <c r="AF184" s="255"/>
      <c r="AG184" s="255"/>
      <c r="EM184" t="s">
        <v>398</v>
      </c>
    </row>
    <row r="185" spans="1:143" x14ac:dyDescent="0.3">
      <c r="E185" s="254"/>
      <c r="F185" s="253"/>
      <c r="G185" s="253"/>
      <c r="H185" s="253"/>
      <c r="I185" s="253"/>
      <c r="J185" s="253"/>
      <c r="K185" s="253"/>
      <c r="L185" s="253"/>
      <c r="M185" s="253"/>
      <c r="N185" s="253"/>
      <c r="O185" s="255"/>
      <c r="P185" s="255"/>
      <c r="Q185" s="255"/>
      <c r="R185" s="255"/>
      <c r="S185" s="255"/>
      <c r="T185" s="255"/>
      <c r="U185" s="255"/>
      <c r="V185" s="255"/>
      <c r="W185" s="255"/>
      <c r="X185" s="255"/>
      <c r="Y185" s="255"/>
      <c r="Z185" s="255"/>
      <c r="AA185" s="255"/>
      <c r="AB185" s="255"/>
      <c r="AC185" s="255"/>
      <c r="AD185" s="255"/>
      <c r="AE185" s="255"/>
      <c r="AF185" s="255"/>
      <c r="AG185" s="255"/>
      <c r="EM185" t="s">
        <v>398</v>
      </c>
    </row>
    <row r="186" spans="1:143" x14ac:dyDescent="0.3">
      <c r="A186" s="253"/>
      <c r="B186" s="253"/>
      <c r="C186" s="253"/>
      <c r="D186" s="254"/>
      <c r="E186" s="254"/>
      <c r="F186" s="253"/>
      <c r="G186" s="253"/>
      <c r="H186" s="253"/>
      <c r="I186" s="253"/>
      <c r="J186" s="253"/>
      <c r="K186" s="253"/>
      <c r="L186" s="253"/>
      <c r="M186" s="253"/>
      <c r="N186" s="253"/>
      <c r="O186" s="255"/>
      <c r="P186" s="255"/>
      <c r="Q186" s="255"/>
      <c r="R186" s="255"/>
      <c r="S186" s="255"/>
      <c r="T186" s="255"/>
      <c r="U186" s="255"/>
      <c r="V186" s="255"/>
      <c r="W186" s="255"/>
      <c r="X186" s="255"/>
      <c r="Y186" s="255"/>
      <c r="Z186" s="255"/>
      <c r="AA186" s="255"/>
      <c r="AB186" s="255"/>
      <c r="AC186" s="255"/>
      <c r="AD186" s="255"/>
      <c r="AE186" s="255"/>
      <c r="AF186" s="255"/>
      <c r="AG186" s="255"/>
      <c r="EM186" t="s">
        <v>398</v>
      </c>
    </row>
    <row r="187" spans="1:143" ht="18" x14ac:dyDescent="0.35">
      <c r="A187" s="253"/>
      <c r="B187" s="253"/>
      <c r="C187" s="256"/>
      <c r="D187" s="254"/>
      <c r="E187" s="254"/>
      <c r="F187" s="253"/>
      <c r="G187" s="253"/>
      <c r="H187" s="253"/>
      <c r="I187" s="253"/>
      <c r="J187" s="253"/>
      <c r="K187" s="253"/>
      <c r="L187" s="253"/>
      <c r="M187" s="253"/>
      <c r="N187" s="253"/>
      <c r="O187" s="255"/>
      <c r="P187" s="255"/>
      <c r="Q187" s="255"/>
      <c r="R187" s="255"/>
      <c r="S187" s="255"/>
      <c r="T187" s="255"/>
      <c r="U187" s="255"/>
      <c r="V187" s="255"/>
      <c r="W187" s="255"/>
      <c r="X187" s="255"/>
      <c r="Y187" s="255"/>
      <c r="Z187" s="255"/>
      <c r="AA187" s="255"/>
      <c r="AB187" s="255"/>
      <c r="AC187" s="255"/>
      <c r="AD187" s="255"/>
      <c r="AE187" s="255"/>
      <c r="AF187" s="255"/>
      <c r="AG187" s="255"/>
      <c r="EM187" t="s">
        <v>398</v>
      </c>
    </row>
    <row r="188" spans="1:143" ht="18" x14ac:dyDescent="0.35">
      <c r="A188" s="253"/>
      <c r="B188" s="253"/>
      <c r="C188" s="256"/>
      <c r="D188" s="254"/>
      <c r="E188" s="254"/>
      <c r="F188" s="253"/>
      <c r="G188" s="253"/>
      <c r="H188" s="253"/>
      <c r="I188" s="253"/>
      <c r="J188" s="253"/>
      <c r="K188" s="253"/>
      <c r="L188" s="253"/>
      <c r="M188" s="253"/>
      <c r="N188" s="253"/>
      <c r="O188" s="255"/>
      <c r="P188" s="255"/>
      <c r="Q188" s="255"/>
      <c r="R188" s="255"/>
      <c r="S188" s="255"/>
      <c r="T188" s="255"/>
      <c r="U188" s="255"/>
      <c r="V188" s="255"/>
      <c r="W188" s="255"/>
      <c r="X188" s="255"/>
      <c r="Y188" s="255"/>
      <c r="Z188" s="255"/>
      <c r="AA188" s="255"/>
      <c r="AB188" s="255"/>
      <c r="AC188" s="255"/>
      <c r="AD188" s="255"/>
      <c r="AE188" s="255"/>
      <c r="AF188" s="255"/>
      <c r="AG188" s="255"/>
      <c r="EM188" t="s">
        <v>398</v>
      </c>
    </row>
    <row r="189" spans="1:143" x14ac:dyDescent="0.3">
      <c r="A189" s="253"/>
      <c r="B189" s="253"/>
      <c r="C189" s="253"/>
      <c r="D189" s="254"/>
      <c r="E189" s="254"/>
      <c r="F189" s="253"/>
      <c r="G189" s="253"/>
      <c r="H189" s="253"/>
      <c r="I189" s="253"/>
      <c r="J189" s="253"/>
      <c r="K189" s="253"/>
      <c r="L189" s="253"/>
      <c r="M189" s="253"/>
      <c r="N189" s="253"/>
      <c r="O189" s="255"/>
      <c r="P189" s="255"/>
      <c r="Q189" s="255"/>
      <c r="R189" s="255"/>
      <c r="S189" s="255"/>
      <c r="T189" s="255"/>
      <c r="U189" s="255"/>
      <c r="V189" s="255"/>
      <c r="W189" s="255"/>
      <c r="X189" s="255"/>
      <c r="Y189" s="255"/>
      <c r="Z189" s="255"/>
      <c r="AA189" s="255"/>
      <c r="AB189" s="255"/>
      <c r="AC189" s="255"/>
      <c r="AD189" s="255"/>
      <c r="AE189" s="255"/>
      <c r="AF189" s="255"/>
      <c r="AG189" s="255"/>
      <c r="EM189" t="s">
        <v>398</v>
      </c>
    </row>
    <row r="190" spans="1:143" x14ac:dyDescent="0.3">
      <c r="A190" s="253"/>
      <c r="B190" s="253"/>
      <c r="C190" s="253"/>
      <c r="D190" s="254"/>
      <c r="E190" s="254"/>
      <c r="F190" s="253"/>
      <c r="G190" s="253"/>
      <c r="H190" s="253"/>
      <c r="I190" s="253"/>
      <c r="J190" s="253"/>
      <c r="K190" s="253"/>
      <c r="L190" s="253"/>
      <c r="M190" s="253"/>
      <c r="N190" s="253"/>
      <c r="O190" s="255"/>
      <c r="P190" s="255"/>
      <c r="Q190" s="255"/>
      <c r="R190" s="255"/>
      <c r="S190" s="255"/>
      <c r="T190" s="255"/>
      <c r="U190" s="255"/>
      <c r="V190" s="255"/>
      <c r="W190" s="255"/>
      <c r="X190" s="255"/>
      <c r="Y190" s="255"/>
      <c r="Z190" s="255"/>
      <c r="AA190" s="255"/>
      <c r="AB190" s="255"/>
      <c r="AC190" s="255"/>
      <c r="AD190" s="255"/>
      <c r="AE190" s="255"/>
      <c r="AF190" s="255"/>
      <c r="AG190" s="255"/>
      <c r="EM190" t="s">
        <v>398</v>
      </c>
    </row>
    <row r="191" spans="1:143" x14ac:dyDescent="0.3">
      <c r="A191" s="253"/>
      <c r="B191" s="253"/>
      <c r="C191" s="253"/>
      <c r="D191" s="254"/>
      <c r="E191" s="254"/>
      <c r="F191" s="253"/>
      <c r="G191" s="253"/>
      <c r="H191" s="253"/>
      <c r="I191" s="253"/>
      <c r="J191" s="253"/>
      <c r="K191" s="253"/>
      <c r="L191" s="253"/>
      <c r="M191" s="253"/>
      <c r="N191" s="253"/>
      <c r="O191" s="255"/>
      <c r="P191" s="255"/>
      <c r="Q191" s="255"/>
      <c r="R191" s="255"/>
      <c r="S191" s="255"/>
      <c r="T191" s="255"/>
      <c r="U191" s="255"/>
      <c r="V191" s="255"/>
      <c r="W191" s="255"/>
      <c r="X191" s="255"/>
      <c r="Y191" s="255"/>
      <c r="Z191" s="255"/>
      <c r="AA191" s="255"/>
      <c r="AB191" s="255"/>
      <c r="AC191" s="255"/>
      <c r="AD191" s="255"/>
      <c r="AE191" s="255"/>
      <c r="AF191" s="255"/>
      <c r="AG191" s="255"/>
      <c r="EM191" t="s">
        <v>398</v>
      </c>
    </row>
    <row r="192" spans="1:143" x14ac:dyDescent="0.3">
      <c r="A192" s="253"/>
      <c r="B192" s="253"/>
      <c r="C192" s="253"/>
      <c r="D192" s="254"/>
      <c r="E192" s="254"/>
      <c r="F192" s="253"/>
      <c r="G192" s="253"/>
      <c r="H192" s="253"/>
      <c r="I192" s="253"/>
      <c r="J192" s="253"/>
      <c r="K192" s="253"/>
      <c r="L192" s="253"/>
      <c r="M192" s="253"/>
      <c r="N192" s="253"/>
      <c r="O192" s="255"/>
      <c r="P192" s="255"/>
      <c r="Q192" s="255"/>
      <c r="R192" s="255"/>
      <c r="S192" s="255"/>
      <c r="T192" s="255"/>
      <c r="U192" s="255"/>
      <c r="V192" s="255"/>
      <c r="W192" s="255"/>
      <c r="X192" s="255"/>
      <c r="Y192" s="255"/>
      <c r="Z192" s="255"/>
      <c r="AA192" s="255"/>
      <c r="AB192" s="255"/>
      <c r="AC192" s="255"/>
      <c r="AD192" s="255"/>
      <c r="AE192" s="255"/>
      <c r="AF192" s="255"/>
      <c r="AG192" s="255"/>
      <c r="EM192" t="s">
        <v>398</v>
      </c>
    </row>
    <row r="193" spans="1:143" x14ac:dyDescent="0.3">
      <c r="A193" s="253"/>
      <c r="B193" s="253"/>
      <c r="C193" s="253"/>
      <c r="D193" s="254"/>
      <c r="E193" s="254"/>
      <c r="F193" s="253"/>
      <c r="G193" s="253"/>
      <c r="H193" s="253"/>
      <c r="I193" s="253"/>
      <c r="J193" s="253"/>
      <c r="K193" s="253"/>
      <c r="L193" s="253"/>
      <c r="M193" s="253"/>
      <c r="N193" s="253"/>
      <c r="O193" s="255"/>
      <c r="P193" s="255"/>
      <c r="Q193" s="255"/>
      <c r="R193" s="255"/>
      <c r="S193" s="255"/>
      <c r="T193" s="255"/>
      <c r="U193" s="255"/>
      <c r="V193" s="255"/>
      <c r="W193" s="255"/>
      <c r="X193" s="255"/>
      <c r="Y193" s="255"/>
      <c r="Z193" s="255"/>
      <c r="AA193" s="255"/>
      <c r="AB193" s="255"/>
      <c r="AC193" s="255"/>
      <c r="AD193" s="255"/>
      <c r="AE193" s="255"/>
      <c r="AF193" s="255"/>
      <c r="AG193" s="255"/>
      <c r="EM193" t="s">
        <v>398</v>
      </c>
    </row>
    <row r="194" spans="1:143" x14ac:dyDescent="0.3">
      <c r="A194" s="253"/>
      <c r="B194" s="253"/>
      <c r="C194" s="253"/>
      <c r="D194" s="254"/>
      <c r="E194" s="254"/>
      <c r="F194" s="253"/>
      <c r="G194" s="257"/>
      <c r="H194" s="253"/>
      <c r="I194" s="253"/>
      <c r="J194" s="253"/>
      <c r="K194" s="257"/>
      <c r="L194" s="257"/>
      <c r="M194" s="253"/>
      <c r="N194" s="253"/>
      <c r="O194" s="255"/>
      <c r="P194" s="258"/>
      <c r="Q194" s="255"/>
      <c r="R194" s="255"/>
      <c r="S194" s="255"/>
      <c r="T194" s="255"/>
      <c r="U194" s="255"/>
      <c r="V194" s="255"/>
      <c r="W194" s="255"/>
      <c r="X194" s="255"/>
      <c r="Y194" s="255"/>
      <c r="Z194" s="255"/>
      <c r="AA194" s="255"/>
      <c r="AB194" s="255"/>
      <c r="AC194" s="255"/>
      <c r="AD194" s="255"/>
      <c r="AE194" s="255"/>
      <c r="AF194" s="255"/>
      <c r="AG194" s="255"/>
      <c r="EM194" t="s">
        <v>398</v>
      </c>
    </row>
    <row r="195" spans="1:143" x14ac:dyDescent="0.3">
      <c r="A195" s="253"/>
      <c r="B195" s="253"/>
      <c r="C195" s="253"/>
      <c r="D195" s="254"/>
      <c r="E195" s="254"/>
      <c r="F195" s="253"/>
      <c r="G195" s="253"/>
      <c r="H195" s="253"/>
      <c r="I195" s="253"/>
      <c r="J195" s="253"/>
      <c r="K195" s="253"/>
      <c r="L195" s="253"/>
      <c r="M195" s="253"/>
      <c r="N195" s="253"/>
      <c r="O195" s="255"/>
      <c r="P195" s="255"/>
      <c r="Q195" s="255"/>
      <c r="R195" s="255"/>
      <c r="S195" s="255"/>
      <c r="T195" s="255"/>
      <c r="U195" s="255"/>
      <c r="V195" s="255"/>
      <c r="W195" s="255"/>
      <c r="X195" s="255"/>
      <c r="Y195" s="255"/>
      <c r="Z195" s="255"/>
      <c r="AA195" s="255"/>
      <c r="AB195" s="255"/>
      <c r="AC195" s="255"/>
      <c r="AD195" s="255"/>
      <c r="AE195" s="255"/>
      <c r="AF195" s="255"/>
      <c r="AG195" s="255"/>
      <c r="EM195" t="s">
        <v>398</v>
      </c>
    </row>
    <row r="196" spans="1:143" x14ac:dyDescent="0.3">
      <c r="A196" s="253"/>
      <c r="B196" s="253"/>
      <c r="C196" s="253"/>
      <c r="D196" s="254"/>
      <c r="E196" s="254"/>
      <c r="F196" s="253"/>
      <c r="G196" s="253"/>
      <c r="H196" s="253"/>
      <c r="I196" s="253"/>
      <c r="J196" s="253"/>
      <c r="K196" s="253"/>
      <c r="L196" s="253"/>
      <c r="M196" s="253"/>
      <c r="N196" s="253"/>
      <c r="O196" s="255"/>
      <c r="P196" s="255"/>
      <c r="Q196" s="255"/>
      <c r="R196" s="255"/>
      <c r="S196" s="255"/>
      <c r="T196" s="255"/>
      <c r="U196" s="255"/>
      <c r="V196" s="255"/>
      <c r="W196" s="255"/>
      <c r="X196" s="255"/>
      <c r="Y196" s="255"/>
      <c r="Z196" s="255"/>
      <c r="AA196" s="255"/>
      <c r="AB196" s="255"/>
      <c r="AC196" s="255"/>
      <c r="AD196" s="255"/>
      <c r="AE196" s="255"/>
      <c r="AF196" s="255"/>
      <c r="AG196" s="255"/>
      <c r="EM196" t="s">
        <v>398</v>
      </c>
    </row>
    <row r="197" spans="1:143" x14ac:dyDescent="0.3">
      <c r="A197" s="253"/>
      <c r="B197" s="253"/>
      <c r="C197" s="253"/>
      <c r="D197" s="254"/>
      <c r="E197" s="254"/>
      <c r="F197" s="253"/>
      <c r="G197" s="253"/>
      <c r="H197" s="253"/>
      <c r="I197" s="253"/>
      <c r="J197" s="253"/>
      <c r="K197" s="253"/>
      <c r="L197" s="253"/>
      <c r="M197" s="253"/>
      <c r="N197" s="253"/>
      <c r="O197" s="255"/>
      <c r="P197" s="255"/>
      <c r="Q197" s="255"/>
      <c r="R197" s="255"/>
      <c r="S197" s="255"/>
      <c r="T197" s="255"/>
      <c r="U197" s="255"/>
      <c r="V197" s="255"/>
      <c r="W197" s="255"/>
      <c r="X197" s="255"/>
      <c r="Y197" s="255"/>
      <c r="Z197" s="255"/>
      <c r="AA197" s="255"/>
      <c r="AB197" s="255"/>
      <c r="AC197" s="255"/>
      <c r="AD197" s="255"/>
      <c r="AE197" s="255"/>
      <c r="AF197" s="255"/>
      <c r="AG197" s="255"/>
      <c r="EM197" t="s">
        <v>398</v>
      </c>
    </row>
    <row r="198" spans="1:143" x14ac:dyDescent="0.3">
      <c r="A198" s="253"/>
      <c r="B198" s="253"/>
      <c r="C198" s="253"/>
      <c r="D198" s="254"/>
      <c r="E198" s="254"/>
      <c r="F198" s="254"/>
      <c r="G198" s="254"/>
      <c r="H198" s="253"/>
      <c r="I198" s="253"/>
      <c r="J198" s="253"/>
      <c r="K198" s="253"/>
      <c r="L198" s="253"/>
      <c r="M198" s="253"/>
      <c r="N198" s="253"/>
      <c r="O198" s="255"/>
      <c r="P198" s="255"/>
      <c r="Q198" s="255"/>
      <c r="R198" s="255"/>
      <c r="S198" s="255"/>
      <c r="T198" s="255"/>
      <c r="U198" s="255"/>
      <c r="V198" s="255"/>
      <c r="W198" s="255"/>
      <c r="X198" s="255"/>
      <c r="Y198" s="255"/>
      <c r="Z198" s="255"/>
      <c r="AA198" s="255"/>
      <c r="AB198" s="255"/>
      <c r="AC198" s="255"/>
      <c r="AD198" s="255"/>
      <c r="AE198" s="255"/>
      <c r="AF198" s="255"/>
      <c r="AG198" s="255"/>
      <c r="EM198" t="s">
        <v>398</v>
      </c>
    </row>
    <row r="199" spans="1:143" x14ac:dyDescent="0.3">
      <c r="A199" s="253"/>
      <c r="B199" s="253"/>
      <c r="C199" s="253"/>
      <c r="D199" s="254"/>
      <c r="E199" s="254"/>
      <c r="F199" s="254"/>
      <c r="G199" s="254"/>
      <c r="H199" s="253"/>
      <c r="I199" s="253"/>
      <c r="J199" s="253"/>
      <c r="K199" s="253"/>
      <c r="L199" s="253"/>
      <c r="M199" s="253"/>
      <c r="N199" s="253"/>
      <c r="O199" s="255"/>
      <c r="P199" s="255"/>
      <c r="Q199" s="255"/>
      <c r="R199" s="255"/>
      <c r="S199" s="255"/>
      <c r="T199" s="255"/>
      <c r="U199" s="255"/>
      <c r="V199" s="255"/>
      <c r="W199" s="255"/>
      <c r="X199" s="255"/>
      <c r="Y199" s="255"/>
      <c r="Z199" s="255"/>
      <c r="AA199" s="255"/>
      <c r="AB199" s="255"/>
      <c r="AC199" s="255"/>
      <c r="AD199" s="255"/>
      <c r="AE199" s="255"/>
      <c r="AF199" s="255"/>
      <c r="AG199" s="255"/>
      <c r="EM199" t="s">
        <v>398</v>
      </c>
    </row>
    <row r="200" spans="1:143" x14ac:dyDescent="0.3">
      <c r="A200" s="253"/>
      <c r="B200" s="253"/>
      <c r="C200" s="253"/>
      <c r="D200" s="254"/>
      <c r="E200" s="254"/>
      <c r="F200" s="254"/>
      <c r="G200" s="254"/>
      <c r="H200" s="253"/>
      <c r="I200" s="253"/>
      <c r="J200" s="253"/>
      <c r="K200" s="253"/>
      <c r="L200" s="253"/>
      <c r="M200" s="253"/>
      <c r="N200" s="253"/>
      <c r="O200" s="255"/>
      <c r="P200" s="255"/>
      <c r="Q200" s="255"/>
      <c r="R200" s="255"/>
      <c r="S200" s="255"/>
      <c r="T200" s="255"/>
      <c r="U200" s="255"/>
      <c r="V200" s="255"/>
      <c r="W200" s="255"/>
      <c r="X200" s="255"/>
      <c r="Y200" s="255"/>
      <c r="Z200" s="255"/>
      <c r="AA200" s="255"/>
      <c r="AB200" s="255"/>
      <c r="AC200" s="255"/>
      <c r="AD200" s="255"/>
      <c r="AE200" s="255"/>
      <c r="AF200" s="255"/>
      <c r="AG200" s="255"/>
      <c r="EM200" t="s">
        <v>398</v>
      </c>
    </row>
    <row r="201" spans="1:143" x14ac:dyDescent="0.3">
      <c r="A201" s="253"/>
      <c r="B201" s="253"/>
      <c r="C201" s="253"/>
      <c r="D201" s="254"/>
      <c r="E201" s="254"/>
      <c r="F201" s="254"/>
      <c r="G201" s="254"/>
      <c r="H201" s="253"/>
      <c r="I201" s="253"/>
      <c r="J201" s="253"/>
      <c r="K201" s="253"/>
      <c r="L201" s="253"/>
      <c r="M201" s="253"/>
      <c r="N201" s="253"/>
      <c r="O201" s="255"/>
      <c r="P201" s="255"/>
      <c r="Q201" s="255"/>
      <c r="R201" s="255"/>
      <c r="S201" s="255"/>
      <c r="T201" s="255"/>
      <c r="U201" s="255"/>
      <c r="V201" s="255"/>
      <c r="W201" s="255"/>
      <c r="X201" s="255"/>
      <c r="Y201" s="255"/>
      <c r="Z201" s="255"/>
      <c r="AA201" s="255"/>
      <c r="AB201" s="255"/>
      <c r="AC201" s="255"/>
      <c r="AD201" s="255"/>
      <c r="AE201" s="255"/>
      <c r="AF201" s="255"/>
      <c r="AG201" s="255"/>
      <c r="EM201" t="s">
        <v>398</v>
      </c>
    </row>
    <row r="202" spans="1:143" x14ac:dyDescent="0.3">
      <c r="A202" s="253"/>
      <c r="B202" s="253"/>
      <c r="C202" s="254"/>
      <c r="D202" s="254"/>
      <c r="E202" s="254"/>
      <c r="F202" s="253"/>
      <c r="G202" s="253"/>
      <c r="H202" s="253"/>
      <c r="I202" s="253"/>
      <c r="J202" s="253"/>
      <c r="K202" s="253"/>
      <c r="L202" s="253"/>
      <c r="M202" s="253"/>
      <c r="N202" s="253"/>
      <c r="O202" s="255"/>
      <c r="P202" s="255"/>
      <c r="Q202" s="255"/>
      <c r="R202" s="255"/>
      <c r="S202" s="255"/>
      <c r="T202" s="255"/>
      <c r="U202" s="255"/>
      <c r="V202" s="255"/>
      <c r="W202" s="255"/>
      <c r="X202" s="255"/>
      <c r="Y202" s="255"/>
      <c r="Z202" s="255"/>
      <c r="AA202" s="255"/>
      <c r="AB202" s="255"/>
      <c r="AC202" s="255"/>
      <c r="AD202" s="255"/>
      <c r="AE202" s="255"/>
      <c r="AF202" s="255"/>
      <c r="AG202" s="255"/>
      <c r="EM202" t="s">
        <v>398</v>
      </c>
    </row>
    <row r="203" spans="1:143" x14ac:dyDescent="0.3">
      <c r="A203" s="253"/>
      <c r="B203" s="253"/>
      <c r="C203" s="254"/>
      <c r="D203" s="254"/>
      <c r="E203" s="254"/>
      <c r="F203" s="253"/>
      <c r="G203" s="253"/>
      <c r="H203" s="253"/>
      <c r="I203" s="253"/>
      <c r="J203" s="253"/>
      <c r="K203" s="253"/>
      <c r="L203" s="253"/>
      <c r="M203" s="253"/>
      <c r="N203" s="253"/>
      <c r="O203" s="255"/>
      <c r="P203" s="255"/>
      <c r="Q203" s="255"/>
      <c r="R203" s="255"/>
      <c r="S203" s="255"/>
      <c r="T203" s="255"/>
      <c r="U203" s="255"/>
      <c r="V203" s="255"/>
      <c r="W203" s="255"/>
      <c r="X203" s="255"/>
      <c r="Y203" s="255"/>
      <c r="Z203" s="255"/>
      <c r="AA203" s="255"/>
      <c r="AB203" s="255"/>
      <c r="AC203" s="255"/>
      <c r="AD203" s="255"/>
      <c r="AE203" s="255"/>
      <c r="AF203" s="255"/>
      <c r="AG203" s="255"/>
      <c r="EM203" t="s">
        <v>398</v>
      </c>
    </row>
    <row r="204" spans="1:143" x14ac:dyDescent="0.3">
      <c r="A204" s="253"/>
      <c r="B204" s="253"/>
      <c r="C204" s="254"/>
      <c r="D204" s="254"/>
      <c r="E204" s="254"/>
      <c r="F204" s="253"/>
      <c r="G204" s="253"/>
      <c r="H204" s="253"/>
      <c r="I204" s="253"/>
      <c r="J204" s="253"/>
      <c r="K204" s="253"/>
      <c r="L204" s="253"/>
      <c r="M204" s="253"/>
      <c r="N204" s="253"/>
      <c r="O204" s="255"/>
      <c r="P204" s="255"/>
      <c r="Q204" s="255"/>
      <c r="R204" s="255"/>
      <c r="S204" s="255"/>
      <c r="T204" s="255"/>
      <c r="U204" s="255"/>
      <c r="V204" s="255"/>
      <c r="W204" s="255"/>
      <c r="X204" s="255"/>
      <c r="Y204" s="255"/>
      <c r="Z204" s="255"/>
      <c r="AA204" s="255"/>
      <c r="AB204" s="255"/>
      <c r="AC204" s="255"/>
      <c r="AD204" s="255"/>
      <c r="AE204" s="255"/>
      <c r="AF204" s="255"/>
      <c r="AG204" s="255"/>
      <c r="EM204" t="s">
        <v>398</v>
      </c>
    </row>
    <row r="205" spans="1:143" x14ac:dyDescent="0.3">
      <c r="A205" s="253"/>
      <c r="B205" s="253"/>
      <c r="C205" s="254"/>
      <c r="D205" s="254"/>
      <c r="E205" s="254"/>
      <c r="F205" s="253"/>
      <c r="G205" s="253"/>
      <c r="H205" s="253"/>
      <c r="I205" s="253"/>
      <c r="J205" s="253"/>
      <c r="K205" s="253"/>
      <c r="L205" s="253"/>
      <c r="M205" s="253"/>
      <c r="N205" s="253"/>
      <c r="O205" s="255"/>
      <c r="P205" s="255"/>
      <c r="Q205" s="255"/>
      <c r="R205" s="255"/>
      <c r="S205" s="255"/>
      <c r="T205" s="255"/>
      <c r="U205" s="255"/>
      <c r="V205" s="255"/>
      <c r="W205" s="255"/>
      <c r="X205" s="255"/>
      <c r="Y205" s="255"/>
      <c r="Z205" s="255"/>
      <c r="AA205" s="255"/>
      <c r="AB205" s="255"/>
      <c r="AC205" s="255"/>
      <c r="AD205" s="255"/>
      <c r="AE205" s="255"/>
      <c r="AF205" s="255"/>
      <c r="AG205" s="255"/>
      <c r="EM205" t="s">
        <v>398</v>
      </c>
    </row>
    <row r="206" spans="1:143" x14ac:dyDescent="0.3">
      <c r="A206" s="253"/>
      <c r="B206" s="253"/>
      <c r="C206" s="253"/>
      <c r="D206" s="254"/>
      <c r="E206" s="254"/>
      <c r="F206" s="253"/>
      <c r="G206" s="253"/>
      <c r="H206" s="253"/>
      <c r="I206" s="253"/>
      <c r="J206" s="253"/>
      <c r="K206" s="253"/>
      <c r="L206" s="253"/>
      <c r="M206" s="253"/>
      <c r="N206" s="253"/>
      <c r="O206" s="255"/>
      <c r="P206" s="255"/>
      <c r="Q206" s="255"/>
      <c r="R206" s="255"/>
      <c r="S206" s="255"/>
      <c r="T206" s="255"/>
      <c r="U206" s="255"/>
      <c r="V206" s="255"/>
      <c r="W206" s="255"/>
      <c r="X206" s="255"/>
      <c r="Y206" s="255"/>
      <c r="Z206" s="255"/>
      <c r="AA206" s="255"/>
      <c r="AB206" s="255"/>
      <c r="AC206" s="255"/>
      <c r="AD206" s="255"/>
      <c r="AE206" s="255"/>
      <c r="AF206" s="255"/>
      <c r="AG206" s="255"/>
      <c r="EM206" t="s">
        <v>398</v>
      </c>
    </row>
    <row r="207" spans="1:143" x14ac:dyDescent="0.3">
      <c r="A207" s="253"/>
      <c r="B207" s="253"/>
      <c r="C207" s="253"/>
      <c r="D207" s="254"/>
      <c r="E207" s="254"/>
      <c r="F207" s="253"/>
      <c r="G207" s="253"/>
      <c r="H207" s="253"/>
      <c r="I207" s="253"/>
      <c r="J207" s="253"/>
      <c r="K207" s="253"/>
      <c r="L207" s="253"/>
      <c r="M207" s="253"/>
      <c r="N207" s="253"/>
      <c r="O207" s="255"/>
      <c r="P207" s="255"/>
      <c r="Q207" s="255"/>
      <c r="R207" s="255"/>
      <c r="S207" s="255"/>
      <c r="T207" s="255"/>
      <c r="U207" s="255"/>
      <c r="V207" s="255"/>
      <c r="W207" s="255"/>
      <c r="X207" s="255"/>
      <c r="Y207" s="255"/>
      <c r="Z207" s="255"/>
      <c r="AA207" s="255"/>
      <c r="AB207" s="255"/>
      <c r="AC207" s="255"/>
      <c r="AD207" s="255"/>
      <c r="AE207" s="255"/>
      <c r="AF207" s="255"/>
      <c r="AG207" s="255"/>
      <c r="EM207" t="s">
        <v>398</v>
      </c>
    </row>
    <row r="208" spans="1:143" x14ac:dyDescent="0.3">
      <c r="A208" s="253"/>
      <c r="B208" s="253"/>
      <c r="C208" s="253"/>
      <c r="D208" s="254"/>
      <c r="E208" s="254"/>
      <c r="F208" s="253"/>
      <c r="G208" s="253"/>
      <c r="H208" s="253"/>
      <c r="I208" s="253"/>
      <c r="J208" s="253"/>
      <c r="K208" s="253"/>
      <c r="L208" s="253"/>
      <c r="M208" s="253"/>
      <c r="N208" s="253"/>
      <c r="O208" s="255"/>
      <c r="P208" s="255"/>
      <c r="Q208" s="255"/>
      <c r="R208" s="255"/>
      <c r="S208" s="255"/>
      <c r="T208" s="255"/>
      <c r="U208" s="255"/>
      <c r="V208" s="255"/>
      <c r="W208" s="255"/>
      <c r="X208" s="255"/>
      <c r="Y208" s="255"/>
      <c r="Z208" s="255"/>
      <c r="AA208" s="255"/>
      <c r="AB208" s="255"/>
      <c r="AC208" s="255"/>
      <c r="AD208" s="255"/>
      <c r="AE208" s="255"/>
      <c r="AF208" s="255"/>
      <c r="AG208" s="255"/>
      <c r="EM208" t="s">
        <v>398</v>
      </c>
    </row>
    <row r="209" spans="1:143" x14ac:dyDescent="0.3">
      <c r="A209" s="253"/>
      <c r="B209" s="253"/>
      <c r="C209" s="253"/>
      <c r="D209" s="254"/>
      <c r="E209" s="254"/>
      <c r="F209" s="253"/>
      <c r="G209" s="253"/>
      <c r="H209" s="253"/>
      <c r="I209" s="253"/>
      <c r="J209" s="253"/>
      <c r="K209" s="253"/>
      <c r="L209" s="253"/>
      <c r="M209" s="253"/>
      <c r="N209" s="253"/>
      <c r="O209" s="255"/>
      <c r="P209" s="255"/>
      <c r="Q209" s="255"/>
      <c r="R209" s="255"/>
      <c r="S209" s="255"/>
      <c r="T209" s="255"/>
      <c r="U209" s="255"/>
      <c r="V209" s="255"/>
      <c r="W209" s="255"/>
      <c r="X209" s="255"/>
      <c r="Y209" s="255"/>
      <c r="Z209" s="255"/>
      <c r="AA209" s="255"/>
      <c r="AB209" s="255"/>
      <c r="AC209" s="255"/>
      <c r="AD209" s="255"/>
      <c r="AE209" s="255"/>
      <c r="AF209" s="255"/>
      <c r="AG209" s="255"/>
      <c r="EM209" t="s">
        <v>398</v>
      </c>
    </row>
    <row r="210" spans="1:143" x14ac:dyDescent="0.3">
      <c r="A210" s="253"/>
      <c r="B210" s="253"/>
      <c r="C210" s="253"/>
      <c r="D210" s="254"/>
      <c r="E210" s="254"/>
      <c r="F210" s="253"/>
      <c r="G210" s="253"/>
      <c r="H210" s="253"/>
      <c r="I210" s="253"/>
      <c r="J210" s="253"/>
      <c r="K210" s="253"/>
      <c r="L210" s="253"/>
      <c r="M210" s="253"/>
      <c r="N210" s="253"/>
      <c r="O210" s="255"/>
      <c r="P210" s="255"/>
      <c r="Q210" s="255"/>
      <c r="R210" s="255"/>
      <c r="S210" s="255"/>
      <c r="T210" s="255"/>
      <c r="U210" s="255"/>
      <c r="V210" s="255"/>
      <c r="W210" s="255"/>
      <c r="X210" s="255"/>
      <c r="Y210" s="255"/>
      <c r="Z210" s="255"/>
      <c r="AA210" s="255"/>
      <c r="AB210" s="255"/>
      <c r="AC210" s="255"/>
      <c r="AD210" s="255"/>
      <c r="AE210" s="255"/>
      <c r="AF210" s="255"/>
      <c r="AG210" s="255"/>
      <c r="EM210" t="s">
        <v>398</v>
      </c>
    </row>
    <row r="211" spans="1:143" x14ac:dyDescent="0.3">
      <c r="A211" s="253"/>
      <c r="B211" s="253"/>
      <c r="C211" s="253"/>
      <c r="D211" s="254"/>
      <c r="E211" s="254"/>
      <c r="F211" s="253"/>
      <c r="G211" s="253"/>
      <c r="H211" s="253"/>
      <c r="I211" s="253"/>
      <c r="J211" s="253"/>
      <c r="K211" s="253"/>
      <c r="L211" s="253"/>
      <c r="M211" s="253"/>
      <c r="N211" s="253"/>
      <c r="O211" s="255"/>
      <c r="P211" s="255"/>
      <c r="Q211" s="255"/>
      <c r="R211" s="255"/>
      <c r="S211" s="255"/>
      <c r="T211" s="255"/>
      <c r="U211" s="255"/>
      <c r="V211" s="255"/>
      <c r="W211" s="255"/>
      <c r="X211" s="255"/>
      <c r="Y211" s="255"/>
      <c r="Z211" s="255"/>
      <c r="AA211" s="255"/>
      <c r="AB211" s="255"/>
      <c r="AC211" s="255"/>
      <c r="AD211" s="255"/>
      <c r="AE211" s="255"/>
      <c r="AF211" s="255"/>
      <c r="AG211" s="255"/>
      <c r="EM211" t="s">
        <v>398</v>
      </c>
    </row>
    <row r="212" spans="1:143" x14ac:dyDescent="0.3">
      <c r="A212" s="253"/>
      <c r="B212" s="253"/>
      <c r="C212" s="253"/>
      <c r="D212" s="254"/>
      <c r="E212" s="254"/>
      <c r="F212" s="253"/>
      <c r="G212" s="253"/>
      <c r="H212" s="253"/>
      <c r="I212" s="253"/>
      <c r="J212" s="253"/>
      <c r="K212" s="253"/>
      <c r="L212" s="253"/>
      <c r="M212" s="253"/>
      <c r="N212" s="253"/>
      <c r="O212" s="255"/>
      <c r="P212" s="255"/>
      <c r="Q212" s="255"/>
      <c r="R212" s="255"/>
      <c r="S212" s="255"/>
      <c r="T212" s="255"/>
      <c r="U212" s="255"/>
      <c r="V212" s="255"/>
      <c r="W212" s="255"/>
      <c r="X212" s="255"/>
      <c r="Y212" s="255"/>
      <c r="Z212" s="255"/>
      <c r="AA212" s="255"/>
      <c r="AB212" s="255"/>
      <c r="AC212" s="255"/>
      <c r="AD212" s="255"/>
      <c r="AE212" s="255"/>
      <c r="AF212" s="255"/>
      <c r="AG212" s="255"/>
      <c r="EM212" t="s">
        <v>398</v>
      </c>
    </row>
    <row r="213" spans="1:143" x14ac:dyDescent="0.3">
      <c r="A213" s="253"/>
      <c r="B213" s="253"/>
      <c r="C213" s="253"/>
      <c r="D213" s="254"/>
      <c r="E213" s="254"/>
      <c r="F213" s="253"/>
      <c r="G213" s="253"/>
      <c r="H213" s="253"/>
      <c r="I213" s="253"/>
      <c r="J213" s="253"/>
      <c r="K213" s="253"/>
      <c r="L213" s="253"/>
      <c r="M213" s="253"/>
      <c r="N213" s="253"/>
      <c r="O213" s="255"/>
      <c r="P213" s="255"/>
      <c r="Q213" s="255"/>
      <c r="R213" s="255"/>
      <c r="S213" s="255"/>
      <c r="T213" s="255"/>
      <c r="U213" s="255"/>
      <c r="V213" s="255"/>
      <c r="W213" s="255"/>
      <c r="X213" s="255"/>
      <c r="Y213" s="255"/>
      <c r="Z213" s="255"/>
      <c r="AA213" s="255"/>
      <c r="AB213" s="255"/>
      <c r="AC213" s="255"/>
      <c r="AD213" s="255"/>
      <c r="AE213" s="255"/>
      <c r="AF213" s="255"/>
      <c r="AG213" s="255"/>
      <c r="EM213" t="s">
        <v>398</v>
      </c>
    </row>
    <row r="214" spans="1:143" x14ac:dyDescent="0.3">
      <c r="A214" s="253"/>
      <c r="B214" s="253"/>
      <c r="C214" s="253"/>
      <c r="D214" s="254"/>
      <c r="E214" s="254"/>
      <c r="F214" s="253"/>
      <c r="G214" s="253"/>
      <c r="H214" s="253"/>
      <c r="I214" s="253"/>
      <c r="J214" s="253"/>
      <c r="K214" s="253"/>
      <c r="L214" s="253"/>
      <c r="M214" s="253"/>
      <c r="N214" s="253"/>
      <c r="O214" s="255"/>
      <c r="P214" s="255"/>
      <c r="Q214" s="255"/>
      <c r="R214" s="255"/>
      <c r="S214" s="255"/>
      <c r="T214" s="255"/>
      <c r="U214" s="255"/>
      <c r="V214" s="255"/>
      <c r="W214" s="255"/>
      <c r="X214" s="255"/>
      <c r="Y214" s="255"/>
      <c r="Z214" s="255"/>
      <c r="AA214" s="255"/>
      <c r="AB214" s="255"/>
      <c r="AC214" s="255"/>
      <c r="AD214" s="255"/>
      <c r="AE214" s="255"/>
      <c r="AF214" s="255"/>
      <c r="AG214" s="255"/>
      <c r="EM214" t="s">
        <v>398</v>
      </c>
    </row>
    <row r="215" spans="1:143" x14ac:dyDescent="0.3">
      <c r="A215" s="253"/>
      <c r="B215" s="253"/>
      <c r="C215" s="253"/>
      <c r="D215" s="254"/>
      <c r="E215" s="254"/>
      <c r="F215" s="253"/>
      <c r="G215" s="253"/>
      <c r="H215" s="253"/>
      <c r="I215" s="253"/>
      <c r="J215" s="253"/>
      <c r="K215" s="253"/>
      <c r="L215" s="253"/>
      <c r="M215" s="253"/>
      <c r="N215" s="253"/>
      <c r="O215" s="255"/>
      <c r="P215" s="255"/>
      <c r="Q215" s="255"/>
      <c r="R215" s="255"/>
      <c r="S215" s="255"/>
      <c r="T215" s="255"/>
      <c r="U215" s="255"/>
      <c r="V215" s="255"/>
      <c r="W215" s="255"/>
      <c r="X215" s="255"/>
      <c r="Y215" s="255"/>
      <c r="Z215" s="255"/>
      <c r="AA215" s="255"/>
      <c r="AB215" s="255"/>
      <c r="AC215" s="255"/>
      <c r="AD215" s="255"/>
      <c r="AE215" s="255"/>
      <c r="AF215" s="255"/>
      <c r="AG215" s="255"/>
      <c r="EM215" t="s">
        <v>398</v>
      </c>
    </row>
    <row r="216" spans="1:143" x14ac:dyDescent="0.3">
      <c r="A216" s="253"/>
      <c r="B216" s="253"/>
      <c r="C216" s="253"/>
      <c r="D216" s="254"/>
      <c r="E216" s="254"/>
      <c r="F216" s="253"/>
      <c r="G216" s="253"/>
      <c r="H216" s="253"/>
      <c r="I216" s="253"/>
      <c r="J216" s="253"/>
      <c r="K216" s="253"/>
      <c r="L216" s="253"/>
      <c r="M216" s="253"/>
      <c r="N216" s="253"/>
      <c r="O216" s="255"/>
      <c r="P216" s="255"/>
      <c r="Q216" s="255"/>
      <c r="R216" s="255"/>
      <c r="S216" s="255"/>
      <c r="T216" s="255"/>
      <c r="U216" s="255"/>
      <c r="V216" s="255"/>
      <c r="W216" s="255"/>
      <c r="X216" s="255"/>
      <c r="Y216" s="255"/>
      <c r="Z216" s="255"/>
      <c r="AA216" s="255"/>
      <c r="AB216" s="255"/>
      <c r="AC216" s="255"/>
      <c r="AD216" s="255"/>
      <c r="AE216" s="255"/>
      <c r="AF216" s="255"/>
      <c r="AG216" s="255"/>
      <c r="EM216" t="s">
        <v>398</v>
      </c>
    </row>
    <row r="217" spans="1:143" x14ac:dyDescent="0.3">
      <c r="A217" s="253"/>
      <c r="B217" s="253"/>
      <c r="C217" s="253"/>
      <c r="D217" s="254"/>
      <c r="E217" s="254"/>
      <c r="F217" s="253"/>
      <c r="G217" s="253"/>
      <c r="H217" s="253"/>
      <c r="I217" s="253"/>
      <c r="J217" s="253"/>
      <c r="K217" s="253"/>
      <c r="L217" s="253"/>
      <c r="M217" s="253"/>
      <c r="N217" s="253"/>
      <c r="O217" s="255"/>
      <c r="P217" s="255"/>
      <c r="Q217" s="255"/>
      <c r="R217" s="255"/>
      <c r="S217" s="255"/>
      <c r="T217" s="255"/>
      <c r="U217" s="255"/>
      <c r="V217" s="255"/>
      <c r="W217" s="255"/>
      <c r="X217" s="255"/>
      <c r="Y217" s="255"/>
      <c r="Z217" s="255"/>
      <c r="AA217" s="255"/>
      <c r="AB217" s="255"/>
      <c r="AC217" s="255"/>
      <c r="AD217" s="255"/>
      <c r="AE217" s="255"/>
      <c r="AF217" s="255"/>
      <c r="AG217" s="255"/>
      <c r="EM217" t="s">
        <v>398</v>
      </c>
    </row>
    <row r="218" spans="1:143" x14ac:dyDescent="0.3">
      <c r="A218" s="253"/>
      <c r="B218" s="253"/>
      <c r="C218" s="253"/>
      <c r="D218" s="254"/>
      <c r="E218" s="254"/>
      <c r="F218" s="253"/>
      <c r="G218" s="253"/>
      <c r="H218" s="253"/>
      <c r="I218" s="253"/>
      <c r="J218" s="253"/>
      <c r="K218" s="253"/>
      <c r="L218" s="253"/>
      <c r="M218" s="253"/>
      <c r="N218" s="253"/>
      <c r="O218" s="255"/>
      <c r="P218" s="255"/>
      <c r="Q218" s="255"/>
      <c r="R218" s="255"/>
      <c r="S218" s="255"/>
      <c r="T218" s="255"/>
      <c r="U218" s="255"/>
      <c r="V218" s="255"/>
      <c r="W218" s="255"/>
      <c r="X218" s="255"/>
      <c r="Y218" s="255"/>
      <c r="Z218" s="255"/>
      <c r="AA218" s="255"/>
      <c r="AB218" s="255"/>
      <c r="AC218" s="255"/>
      <c r="AD218" s="255"/>
      <c r="AE218" s="255"/>
      <c r="AF218" s="255"/>
      <c r="AG218" s="255"/>
      <c r="EM218" t="s">
        <v>398</v>
      </c>
    </row>
    <row r="219" spans="1:143" x14ac:dyDescent="0.3">
      <c r="A219" s="253"/>
      <c r="B219" s="253"/>
      <c r="C219" s="253"/>
      <c r="D219" s="254"/>
      <c r="E219" s="254"/>
      <c r="F219" s="253"/>
      <c r="G219" s="253"/>
      <c r="H219" s="253"/>
      <c r="I219" s="253"/>
      <c r="J219" s="253"/>
      <c r="K219" s="253"/>
      <c r="L219" s="253"/>
      <c r="M219" s="253"/>
      <c r="N219" s="253"/>
      <c r="O219" s="255"/>
      <c r="P219" s="255"/>
      <c r="Q219" s="255"/>
      <c r="R219" s="255"/>
      <c r="S219" s="255"/>
      <c r="T219" s="255"/>
      <c r="U219" s="255"/>
      <c r="V219" s="255"/>
      <c r="W219" s="255"/>
      <c r="X219" s="255"/>
      <c r="Y219" s="255"/>
      <c r="Z219" s="255"/>
      <c r="AA219" s="255"/>
      <c r="AB219" s="255"/>
      <c r="AC219" s="255"/>
      <c r="AD219" s="255"/>
      <c r="AE219" s="255"/>
      <c r="AF219" s="255"/>
      <c r="AG219" s="255"/>
      <c r="EM219" t="s">
        <v>398</v>
      </c>
    </row>
    <row r="220" spans="1:143" x14ac:dyDescent="0.3">
      <c r="A220" s="253"/>
      <c r="B220" s="253"/>
      <c r="C220" s="253"/>
      <c r="D220" s="254"/>
      <c r="E220" s="254"/>
      <c r="F220" s="253"/>
      <c r="G220" s="253"/>
      <c r="H220" s="253"/>
      <c r="I220" s="253"/>
      <c r="J220" s="253"/>
      <c r="K220" s="253"/>
      <c r="L220" s="253"/>
      <c r="M220" s="253"/>
      <c r="N220" s="253"/>
      <c r="O220" s="255"/>
      <c r="P220" s="255"/>
      <c r="Q220" s="255"/>
      <c r="R220" s="255"/>
      <c r="S220" s="255"/>
      <c r="T220" s="255"/>
      <c r="U220" s="255"/>
      <c r="V220" s="255"/>
      <c r="W220" s="255"/>
      <c r="X220" s="255"/>
      <c r="Y220" s="255"/>
      <c r="Z220" s="255"/>
      <c r="AA220" s="255"/>
      <c r="AB220" s="255"/>
      <c r="AC220" s="255"/>
      <c r="AD220" s="255"/>
      <c r="AE220" s="255"/>
      <c r="AF220" s="255"/>
      <c r="AG220" s="255"/>
      <c r="EM220" t="s">
        <v>398</v>
      </c>
    </row>
    <row r="221" spans="1:143" x14ac:dyDescent="0.3">
      <c r="A221" s="253"/>
      <c r="B221" s="253"/>
      <c r="C221" s="253"/>
      <c r="D221" s="254"/>
      <c r="E221" s="254"/>
      <c r="F221" s="253"/>
      <c r="G221" s="253"/>
      <c r="H221" s="253"/>
      <c r="I221" s="253"/>
      <c r="J221" s="253"/>
      <c r="K221" s="253"/>
      <c r="L221" s="253"/>
      <c r="M221" s="253"/>
      <c r="N221" s="253"/>
      <c r="O221" s="255"/>
      <c r="P221" s="255"/>
      <c r="Q221" s="255"/>
      <c r="R221" s="255"/>
      <c r="S221" s="255"/>
      <c r="T221" s="255"/>
      <c r="U221" s="255"/>
      <c r="V221" s="255"/>
      <c r="W221" s="255"/>
      <c r="X221" s="255"/>
      <c r="Y221" s="255"/>
      <c r="Z221" s="255"/>
      <c r="AA221" s="255"/>
      <c r="AB221" s="255"/>
      <c r="AC221" s="255"/>
      <c r="AD221" s="255"/>
      <c r="AE221" s="255"/>
      <c r="AF221" s="255"/>
      <c r="AG221" s="255"/>
      <c r="EM221" t="s">
        <v>398</v>
      </c>
    </row>
    <row r="222" spans="1:143" x14ac:dyDescent="0.3">
      <c r="A222" s="253"/>
      <c r="B222" s="253"/>
      <c r="C222" s="253"/>
      <c r="D222" s="254"/>
      <c r="E222" s="254"/>
      <c r="F222" s="253"/>
      <c r="G222" s="257"/>
      <c r="H222" s="253"/>
      <c r="I222" s="253"/>
      <c r="J222" s="257"/>
      <c r="K222" s="257"/>
      <c r="L222" s="253"/>
      <c r="M222" s="253"/>
      <c r="N222" s="257"/>
      <c r="O222" s="255"/>
      <c r="P222" s="255"/>
      <c r="Q222" s="255"/>
      <c r="R222" s="255"/>
      <c r="S222" s="255"/>
      <c r="T222" s="255"/>
      <c r="U222" s="255"/>
      <c r="V222" s="255"/>
      <c r="W222" s="255"/>
      <c r="X222" s="255"/>
      <c r="Y222" s="255"/>
      <c r="Z222" s="255"/>
      <c r="AA222" s="255"/>
      <c r="AB222" s="255"/>
      <c r="AC222" s="255"/>
      <c r="AD222" s="255"/>
      <c r="AE222" s="255"/>
      <c r="AF222" s="255"/>
      <c r="AG222" s="255"/>
    </row>
    <row r="223" spans="1:143" x14ac:dyDescent="0.3">
      <c r="A223" s="253"/>
      <c r="B223" s="253"/>
      <c r="C223" s="253"/>
      <c r="D223" s="254"/>
      <c r="E223" s="254"/>
      <c r="F223" s="253"/>
      <c r="G223" s="253"/>
      <c r="H223" s="253"/>
      <c r="I223" s="253"/>
      <c r="J223" s="253"/>
      <c r="K223" s="253"/>
      <c r="L223" s="253"/>
      <c r="M223" s="253"/>
      <c r="N223" s="253"/>
      <c r="O223" s="255"/>
      <c r="P223" s="255"/>
      <c r="Q223" s="255"/>
      <c r="R223" s="255"/>
      <c r="S223" s="255"/>
      <c r="T223" s="255"/>
      <c r="U223" s="255"/>
      <c r="V223" s="255"/>
      <c r="W223" s="255"/>
      <c r="X223" s="255"/>
      <c r="Y223" s="255"/>
      <c r="Z223" s="255"/>
      <c r="AA223" s="255"/>
      <c r="AB223" s="255"/>
      <c r="AC223" s="255"/>
      <c r="AD223" s="255"/>
      <c r="AE223" s="255"/>
      <c r="AF223" s="255"/>
      <c r="AG223" s="255"/>
    </row>
    <row r="224" spans="1:143" x14ac:dyDescent="0.3">
      <c r="A224" s="253"/>
      <c r="B224" s="253"/>
      <c r="C224" s="253"/>
      <c r="D224" s="254"/>
      <c r="E224" s="254"/>
      <c r="F224" s="259"/>
      <c r="G224" s="253"/>
      <c r="H224" s="253"/>
      <c r="I224" s="253"/>
      <c r="J224" s="253"/>
      <c r="K224" s="253"/>
      <c r="L224" s="253"/>
      <c r="M224" s="259"/>
      <c r="N224" s="253"/>
      <c r="O224" s="255"/>
      <c r="P224" s="255"/>
      <c r="Q224" s="255"/>
      <c r="R224" s="255"/>
      <c r="S224" s="255"/>
      <c r="T224" s="255"/>
      <c r="U224" s="255"/>
      <c r="V224" s="255"/>
      <c r="W224" s="255"/>
      <c r="X224" s="255"/>
      <c r="Y224" s="255"/>
      <c r="Z224" s="255"/>
      <c r="AA224" s="255"/>
      <c r="AB224" s="255"/>
      <c r="AC224" s="255"/>
      <c r="AD224" s="255"/>
      <c r="AE224" s="255"/>
      <c r="AF224" s="255"/>
      <c r="AG224" s="255"/>
    </row>
    <row r="225" spans="1:33" x14ac:dyDescent="0.3">
      <c r="A225" s="253"/>
      <c r="B225" s="253"/>
      <c r="C225" s="253"/>
      <c r="D225" s="254"/>
      <c r="E225" s="254"/>
      <c r="F225" s="259"/>
      <c r="G225" s="253"/>
      <c r="H225" s="253"/>
      <c r="I225" s="253"/>
      <c r="J225" s="253"/>
      <c r="K225" s="253"/>
      <c r="L225" s="253"/>
      <c r="M225" s="253"/>
      <c r="N225" s="253"/>
      <c r="O225" s="255"/>
      <c r="P225" s="255"/>
      <c r="Q225" s="255"/>
      <c r="R225" s="255"/>
      <c r="S225" s="255"/>
      <c r="T225" s="255"/>
      <c r="U225" s="255"/>
      <c r="V225" s="255"/>
      <c r="W225" s="255"/>
      <c r="X225" s="255"/>
      <c r="Y225" s="255"/>
      <c r="Z225" s="255"/>
      <c r="AA225" s="255"/>
      <c r="AB225" s="255"/>
      <c r="AC225" s="255"/>
      <c r="AD225" s="255"/>
      <c r="AE225" s="255"/>
      <c r="AF225" s="255"/>
      <c r="AG225" s="255"/>
    </row>
    <row r="226" spans="1:33" x14ac:dyDescent="0.3">
      <c r="A226" s="253"/>
      <c r="B226" s="253"/>
      <c r="C226" s="257"/>
      <c r="D226" s="254"/>
      <c r="E226" s="254"/>
      <c r="F226" s="259"/>
      <c r="G226" s="253"/>
      <c r="H226" s="253"/>
      <c r="I226" s="253"/>
      <c r="J226" s="253"/>
      <c r="K226" s="253"/>
      <c r="L226" s="253"/>
      <c r="M226" s="253"/>
      <c r="N226" s="253"/>
      <c r="O226" s="255"/>
      <c r="P226" s="255"/>
      <c r="Q226" s="255"/>
      <c r="R226" s="255"/>
      <c r="S226" s="255"/>
      <c r="T226" s="255"/>
      <c r="U226" s="255"/>
      <c r="V226" s="255"/>
      <c r="W226" s="255"/>
      <c r="X226" s="255"/>
      <c r="Y226" s="255"/>
      <c r="Z226" s="255"/>
      <c r="AA226" s="255"/>
      <c r="AB226" s="255"/>
      <c r="AC226" s="255"/>
      <c r="AD226" s="255"/>
      <c r="AE226" s="255"/>
      <c r="AF226" s="255"/>
      <c r="AG226" s="255"/>
    </row>
    <row r="227" spans="1:33" x14ac:dyDescent="0.3">
      <c r="A227" s="253"/>
      <c r="B227" s="253"/>
      <c r="C227" s="253"/>
      <c r="D227" s="254"/>
      <c r="E227" s="253"/>
      <c r="F227" s="253"/>
      <c r="G227" s="253"/>
      <c r="H227" s="253"/>
      <c r="I227" s="253"/>
      <c r="J227" s="253"/>
      <c r="K227" s="253"/>
      <c r="L227" s="253"/>
      <c r="M227" s="253"/>
      <c r="N227" s="253"/>
      <c r="O227" s="255"/>
      <c r="P227" s="255"/>
      <c r="Q227" s="255"/>
      <c r="R227" s="255"/>
      <c r="S227" s="255"/>
      <c r="T227" s="255"/>
      <c r="U227" s="255"/>
      <c r="V227" s="255"/>
      <c r="W227" s="255"/>
      <c r="X227" s="255"/>
      <c r="Y227" s="255"/>
      <c r="Z227" s="255"/>
      <c r="AA227" s="255"/>
      <c r="AB227" s="255"/>
      <c r="AC227" s="255"/>
      <c r="AD227" s="255"/>
      <c r="AE227" s="255"/>
      <c r="AF227" s="255"/>
      <c r="AG227" s="255"/>
    </row>
    <row r="228" spans="1:33" x14ac:dyDescent="0.3">
      <c r="A228" s="253"/>
      <c r="B228" s="253"/>
      <c r="C228" s="253"/>
      <c r="D228" s="254"/>
      <c r="E228" s="253"/>
      <c r="F228" s="253"/>
      <c r="G228" s="253"/>
      <c r="H228" s="253"/>
      <c r="I228" s="253"/>
      <c r="J228" s="253"/>
      <c r="K228" s="253"/>
      <c r="L228" s="253"/>
      <c r="M228" s="253"/>
      <c r="N228" s="253"/>
      <c r="O228" s="255"/>
      <c r="P228" s="255"/>
      <c r="Q228" s="255"/>
      <c r="R228" s="255"/>
      <c r="S228" s="255"/>
      <c r="T228" s="255"/>
      <c r="U228" s="255"/>
      <c r="V228" s="255"/>
      <c r="W228" s="255"/>
      <c r="X228" s="255"/>
      <c r="Y228" s="255"/>
      <c r="Z228" s="255"/>
      <c r="AA228" s="255"/>
      <c r="AB228" s="255"/>
      <c r="AC228" s="255"/>
      <c r="AD228" s="255"/>
      <c r="AE228" s="255"/>
      <c r="AF228" s="255"/>
      <c r="AG228" s="255"/>
    </row>
    <row r="229" spans="1:33" x14ac:dyDescent="0.3">
      <c r="A229" s="253"/>
      <c r="B229" s="253"/>
      <c r="C229" s="253"/>
      <c r="D229" s="254"/>
      <c r="E229" s="253"/>
      <c r="F229" s="253"/>
      <c r="G229" s="253"/>
      <c r="H229" s="253"/>
      <c r="I229" s="253"/>
      <c r="J229" s="253"/>
      <c r="K229" s="253"/>
      <c r="L229" s="253"/>
      <c r="M229" s="253"/>
      <c r="N229" s="253"/>
      <c r="O229" s="255"/>
      <c r="P229" s="255"/>
      <c r="Q229" s="255"/>
      <c r="R229" s="255"/>
      <c r="S229" s="255"/>
      <c r="T229" s="255"/>
      <c r="U229" s="255"/>
      <c r="V229" s="255"/>
      <c r="W229" s="255"/>
      <c r="X229" s="255"/>
      <c r="Y229" s="255"/>
      <c r="Z229" s="255"/>
      <c r="AA229" s="255"/>
      <c r="AB229" s="255"/>
      <c r="AC229" s="255"/>
      <c r="AD229" s="255"/>
      <c r="AE229" s="255"/>
      <c r="AF229" s="255"/>
      <c r="AG229" s="255"/>
    </row>
    <row r="230" spans="1:33" x14ac:dyDescent="0.3">
      <c r="A230" s="253"/>
      <c r="B230" s="253"/>
      <c r="C230" s="253"/>
      <c r="D230" s="254"/>
      <c r="E230" s="253"/>
      <c r="F230" s="253"/>
      <c r="G230" s="253"/>
      <c r="H230" s="253"/>
      <c r="I230" s="253"/>
      <c r="J230" s="253"/>
      <c r="K230" s="253"/>
      <c r="L230" s="253"/>
      <c r="M230" s="253"/>
      <c r="N230" s="253"/>
      <c r="O230" s="255"/>
      <c r="P230" s="255"/>
      <c r="Q230" s="255"/>
      <c r="R230" s="255"/>
      <c r="S230" s="255"/>
      <c r="T230" s="255"/>
      <c r="U230" s="255"/>
      <c r="V230" s="255"/>
      <c r="W230" s="255"/>
      <c r="X230" s="255"/>
      <c r="Y230" s="255"/>
      <c r="Z230" s="255"/>
      <c r="AA230" s="255"/>
      <c r="AB230" s="255"/>
      <c r="AC230" s="255"/>
      <c r="AD230" s="255"/>
      <c r="AE230" s="255"/>
      <c r="AF230" s="255"/>
      <c r="AG230" s="255"/>
    </row>
    <row r="231" spans="1:33" x14ac:dyDescent="0.3">
      <c r="A231" s="253"/>
      <c r="B231" s="253"/>
      <c r="C231" s="253"/>
      <c r="D231" s="253"/>
      <c r="E231" s="254"/>
      <c r="F231" s="253"/>
      <c r="G231" s="253"/>
      <c r="H231" s="253"/>
      <c r="I231" s="253"/>
      <c r="J231" s="253"/>
      <c r="K231" s="253"/>
      <c r="L231" s="253"/>
      <c r="M231" s="253"/>
      <c r="N231" s="253"/>
      <c r="O231" s="255"/>
      <c r="P231" s="255"/>
      <c r="Q231" s="255"/>
      <c r="R231" s="255"/>
      <c r="S231" s="255"/>
      <c r="T231" s="255"/>
      <c r="U231" s="255"/>
      <c r="V231" s="255"/>
      <c r="W231" s="255"/>
      <c r="X231" s="255"/>
      <c r="Y231" s="255"/>
      <c r="Z231" s="255"/>
      <c r="AA231" s="255"/>
      <c r="AB231" s="255"/>
      <c r="AC231" s="255"/>
      <c r="AD231" s="255"/>
      <c r="AE231" s="255"/>
      <c r="AF231" s="255"/>
      <c r="AG231" s="255"/>
    </row>
    <row r="232" spans="1:33" x14ac:dyDescent="0.3">
      <c r="A232" s="253"/>
      <c r="B232" s="253"/>
      <c r="C232" s="253"/>
      <c r="D232" s="253"/>
      <c r="E232" s="254"/>
      <c r="F232" s="253"/>
      <c r="G232" s="253"/>
      <c r="H232" s="253"/>
      <c r="I232" s="253"/>
      <c r="J232" s="253"/>
      <c r="K232" s="253"/>
      <c r="L232" s="253"/>
      <c r="M232" s="253"/>
      <c r="N232" s="253"/>
      <c r="O232" s="255"/>
      <c r="P232" s="255"/>
      <c r="Q232" s="255"/>
      <c r="R232" s="255"/>
      <c r="S232" s="255"/>
      <c r="T232" s="255"/>
      <c r="U232" s="255"/>
      <c r="V232" s="255"/>
      <c r="W232" s="255"/>
      <c r="X232" s="255"/>
      <c r="Y232" s="255"/>
      <c r="Z232" s="255"/>
      <c r="AA232" s="255"/>
      <c r="AB232" s="255"/>
      <c r="AC232" s="255"/>
      <c r="AD232" s="255"/>
      <c r="AE232" s="255"/>
      <c r="AF232" s="255"/>
      <c r="AG232" s="255"/>
    </row>
    <row r="233" spans="1:33" x14ac:dyDescent="0.3">
      <c r="A233" s="253"/>
      <c r="B233" s="253"/>
      <c r="C233" s="253"/>
      <c r="D233" s="253"/>
      <c r="E233" s="254"/>
      <c r="F233" s="253"/>
      <c r="G233" s="253"/>
      <c r="H233" s="253"/>
      <c r="I233" s="253"/>
      <c r="J233" s="253"/>
      <c r="K233" s="253"/>
      <c r="L233" s="253"/>
      <c r="M233" s="253"/>
      <c r="N233" s="253"/>
      <c r="O233" s="255"/>
      <c r="P233" s="255"/>
      <c r="Q233" s="255"/>
      <c r="R233" s="255"/>
      <c r="S233" s="255"/>
      <c r="T233" s="255"/>
      <c r="U233" s="255"/>
      <c r="V233" s="255"/>
      <c r="W233" s="255"/>
      <c r="X233" s="255"/>
      <c r="Y233" s="255"/>
      <c r="Z233" s="255"/>
      <c r="AA233" s="255"/>
      <c r="AB233" s="255"/>
      <c r="AC233" s="255"/>
      <c r="AD233" s="255"/>
      <c r="AE233" s="255"/>
      <c r="AF233" s="255"/>
      <c r="AG233" s="255"/>
    </row>
    <row r="234" spans="1:33" x14ac:dyDescent="0.3">
      <c r="A234" s="253"/>
      <c r="B234" s="253"/>
      <c r="C234" s="253"/>
      <c r="D234" s="253"/>
      <c r="E234" s="254"/>
      <c r="F234" s="253"/>
      <c r="G234" s="253"/>
      <c r="H234" s="253"/>
      <c r="I234" s="253"/>
      <c r="J234" s="253"/>
      <c r="K234" s="253"/>
      <c r="L234" s="253"/>
      <c r="M234" s="253"/>
      <c r="N234" s="253"/>
      <c r="O234" s="255"/>
      <c r="P234" s="255"/>
      <c r="Q234" s="255"/>
      <c r="R234" s="255"/>
      <c r="S234" s="255"/>
      <c r="T234" s="255"/>
      <c r="U234" s="255"/>
      <c r="V234" s="255"/>
      <c r="W234" s="255"/>
      <c r="X234" s="255"/>
      <c r="Y234" s="255"/>
      <c r="Z234" s="255"/>
      <c r="AA234" s="255"/>
      <c r="AB234" s="255"/>
      <c r="AC234" s="255"/>
      <c r="AD234" s="255"/>
      <c r="AE234" s="255"/>
      <c r="AF234" s="255"/>
      <c r="AG234" s="255"/>
    </row>
    <row r="235" spans="1:33" x14ac:dyDescent="0.3">
      <c r="A235" s="253"/>
      <c r="B235" s="253"/>
      <c r="C235" s="253"/>
      <c r="D235" s="254"/>
      <c r="E235" s="254"/>
      <c r="F235" s="253"/>
      <c r="G235" s="253"/>
      <c r="H235" s="253"/>
      <c r="I235" s="253"/>
      <c r="J235" s="253"/>
      <c r="K235" s="253"/>
      <c r="L235" s="253"/>
      <c r="M235" s="253"/>
      <c r="N235" s="253"/>
      <c r="O235" s="255"/>
      <c r="P235" s="255"/>
      <c r="Q235" s="255"/>
      <c r="R235" s="255"/>
      <c r="S235" s="255"/>
      <c r="T235" s="255"/>
      <c r="U235" s="255"/>
      <c r="V235" s="255"/>
      <c r="W235" s="255"/>
      <c r="X235" s="255"/>
      <c r="Y235" s="255"/>
      <c r="Z235" s="255"/>
      <c r="AA235" s="255"/>
      <c r="AB235" s="255"/>
      <c r="AC235" s="255"/>
      <c r="AD235" s="255"/>
      <c r="AE235" s="255"/>
      <c r="AF235" s="255"/>
      <c r="AG235" s="255"/>
    </row>
    <row r="236" spans="1:33" x14ac:dyDescent="0.3">
      <c r="A236" s="253"/>
      <c r="B236" s="253"/>
      <c r="C236" s="253"/>
      <c r="D236" s="254"/>
      <c r="E236" s="254"/>
      <c r="F236" s="253"/>
      <c r="G236" s="253"/>
      <c r="H236" s="253"/>
      <c r="I236" s="253"/>
      <c r="J236" s="253"/>
      <c r="K236" s="253"/>
      <c r="L236" s="253"/>
      <c r="M236" s="253"/>
      <c r="N236" s="253"/>
      <c r="O236" s="255"/>
      <c r="P236" s="255"/>
      <c r="Q236" s="255"/>
      <c r="R236" s="255"/>
      <c r="S236" s="255"/>
      <c r="T236" s="255"/>
      <c r="U236" s="255"/>
      <c r="V236" s="255"/>
      <c r="W236" s="255"/>
      <c r="X236" s="255"/>
      <c r="Y236" s="255"/>
      <c r="Z236" s="255"/>
      <c r="AA236" s="255"/>
      <c r="AB236" s="255"/>
      <c r="AC236" s="255"/>
      <c r="AD236" s="255"/>
      <c r="AE236" s="255"/>
      <c r="AF236" s="255"/>
      <c r="AG236" s="255"/>
    </row>
    <row r="237" spans="1:33" x14ac:dyDescent="0.3">
      <c r="A237" s="253"/>
      <c r="B237" s="253"/>
      <c r="C237" s="253"/>
      <c r="D237" s="254"/>
      <c r="E237" s="254"/>
      <c r="F237" s="253"/>
      <c r="G237" s="253"/>
      <c r="H237" s="253"/>
      <c r="I237" s="253"/>
      <c r="J237" s="253"/>
      <c r="K237" s="253"/>
      <c r="L237" s="253"/>
      <c r="M237" s="253"/>
      <c r="N237" s="253"/>
      <c r="O237" s="255"/>
      <c r="P237" s="255"/>
      <c r="Q237" s="255"/>
      <c r="R237" s="255"/>
      <c r="S237" s="255"/>
      <c r="T237" s="255"/>
      <c r="U237" s="255"/>
      <c r="V237" s="255"/>
      <c r="W237" s="255"/>
      <c r="X237" s="255"/>
      <c r="Y237" s="255"/>
      <c r="Z237" s="255"/>
      <c r="AA237" s="255"/>
      <c r="AB237" s="255"/>
      <c r="AC237" s="255"/>
      <c r="AD237" s="255"/>
      <c r="AE237" s="255"/>
      <c r="AF237" s="255"/>
      <c r="AG237" s="255"/>
    </row>
    <row r="238" spans="1:33" x14ac:dyDescent="0.3">
      <c r="A238" s="253"/>
      <c r="B238" s="253"/>
      <c r="C238" s="253"/>
      <c r="D238" s="254"/>
      <c r="E238" s="254"/>
      <c r="F238" s="253"/>
      <c r="G238" s="253"/>
      <c r="H238" s="253"/>
      <c r="I238" s="253"/>
      <c r="J238" s="253"/>
      <c r="K238" s="253"/>
      <c r="L238" s="253"/>
      <c r="M238" s="253"/>
      <c r="N238" s="253"/>
      <c r="O238" s="255"/>
      <c r="P238" s="255"/>
      <c r="Q238" s="255"/>
      <c r="R238" s="255"/>
      <c r="S238" s="255"/>
      <c r="T238" s="255"/>
      <c r="U238" s="255"/>
      <c r="V238" s="255"/>
      <c r="W238" s="255"/>
      <c r="X238" s="255"/>
      <c r="Y238" s="255"/>
      <c r="Z238" s="255"/>
      <c r="AA238" s="255"/>
      <c r="AB238" s="255"/>
      <c r="AC238" s="255"/>
      <c r="AD238" s="255"/>
      <c r="AE238" s="255"/>
      <c r="AF238" s="255"/>
      <c r="AG238" s="255"/>
    </row>
    <row r="239" spans="1:33" x14ac:dyDescent="0.3">
      <c r="A239" s="253"/>
      <c r="B239" s="253"/>
      <c r="C239" s="253"/>
      <c r="D239" s="254"/>
      <c r="E239" s="254"/>
      <c r="F239" s="253"/>
      <c r="G239" s="253"/>
      <c r="H239" s="253"/>
      <c r="I239" s="253"/>
      <c r="J239" s="253"/>
      <c r="K239" s="253"/>
      <c r="L239" s="253"/>
      <c r="M239" s="253"/>
      <c r="N239" s="253"/>
      <c r="O239" s="255"/>
      <c r="P239" s="255"/>
      <c r="Q239" s="255"/>
      <c r="R239" s="255"/>
      <c r="S239" s="255"/>
      <c r="T239" s="255"/>
      <c r="U239" s="255"/>
      <c r="V239" s="255"/>
      <c r="W239" s="255"/>
      <c r="X239" s="255"/>
      <c r="Y239" s="255"/>
      <c r="Z239" s="255"/>
      <c r="AA239" s="255"/>
      <c r="AB239" s="255"/>
      <c r="AC239" s="255"/>
      <c r="AD239" s="255"/>
      <c r="AE239" s="255"/>
      <c r="AF239" s="255"/>
      <c r="AG239" s="255"/>
    </row>
    <row r="240" spans="1:33" x14ac:dyDescent="0.3">
      <c r="A240" s="253"/>
      <c r="B240" s="253"/>
      <c r="C240" s="253"/>
      <c r="D240" s="254"/>
      <c r="E240" s="254"/>
      <c r="F240" s="253"/>
      <c r="G240" s="253"/>
      <c r="H240" s="253"/>
      <c r="I240" s="253"/>
      <c r="J240" s="253"/>
      <c r="K240" s="253"/>
      <c r="L240" s="253"/>
      <c r="M240" s="253"/>
      <c r="N240" s="253"/>
      <c r="O240" s="255"/>
      <c r="P240" s="255"/>
      <c r="Q240" s="255"/>
      <c r="R240" s="255"/>
      <c r="S240" s="255"/>
      <c r="T240" s="255"/>
      <c r="U240" s="255"/>
      <c r="V240" s="255"/>
      <c r="W240" s="255"/>
      <c r="X240" s="255"/>
      <c r="Y240" s="255"/>
      <c r="Z240" s="255"/>
      <c r="AA240" s="255"/>
      <c r="AB240" s="255"/>
      <c r="AC240" s="255"/>
      <c r="AD240" s="255"/>
      <c r="AE240" s="255"/>
      <c r="AF240" s="255"/>
      <c r="AG240" s="255"/>
    </row>
    <row r="241" spans="1:33" x14ac:dyDescent="0.3">
      <c r="A241" s="253"/>
      <c r="B241" s="253"/>
      <c r="C241" s="253"/>
      <c r="D241" s="254"/>
      <c r="E241" s="254"/>
      <c r="F241" s="253"/>
      <c r="G241" s="253"/>
      <c r="H241" s="253"/>
      <c r="I241" s="253"/>
      <c r="J241" s="253"/>
      <c r="K241" s="253"/>
      <c r="L241" s="253"/>
      <c r="M241" s="253"/>
      <c r="N241" s="253"/>
      <c r="O241" s="255"/>
      <c r="P241" s="255"/>
      <c r="Q241" s="255"/>
      <c r="R241" s="255"/>
      <c r="S241" s="255"/>
      <c r="T241" s="255"/>
      <c r="U241" s="255"/>
      <c r="V241" s="255"/>
      <c r="W241" s="255"/>
      <c r="X241" s="255"/>
      <c r="Y241" s="255"/>
      <c r="Z241" s="255"/>
      <c r="AA241" s="255"/>
      <c r="AB241" s="255"/>
      <c r="AC241" s="255"/>
      <c r="AD241" s="255"/>
      <c r="AE241" s="255"/>
      <c r="AF241" s="255"/>
      <c r="AG241" s="255"/>
    </row>
    <row r="242" spans="1:33" x14ac:dyDescent="0.3">
      <c r="A242" s="253"/>
      <c r="B242" s="253"/>
      <c r="C242" s="253"/>
      <c r="D242" s="254"/>
      <c r="E242" s="254"/>
      <c r="F242" s="253"/>
      <c r="G242" s="253"/>
      <c r="H242" s="253"/>
      <c r="I242" s="253"/>
      <c r="J242" s="253"/>
      <c r="K242" s="253"/>
      <c r="L242" s="253"/>
      <c r="M242" s="253"/>
      <c r="N242" s="253"/>
      <c r="O242" s="255"/>
      <c r="P242" s="255"/>
      <c r="Q242" s="255"/>
      <c r="R242" s="255"/>
      <c r="S242" s="255"/>
      <c r="T242" s="255"/>
      <c r="U242" s="255"/>
      <c r="V242" s="255"/>
      <c r="W242" s="255"/>
      <c r="X242" s="255"/>
      <c r="Y242" s="255"/>
      <c r="Z242" s="255"/>
      <c r="AA242" s="255"/>
      <c r="AB242" s="255"/>
      <c r="AC242" s="255"/>
      <c r="AD242" s="255"/>
      <c r="AE242" s="255"/>
      <c r="AF242" s="255"/>
      <c r="AG242" s="255"/>
    </row>
    <row r="243" spans="1:33" x14ac:dyDescent="0.3">
      <c r="A243" s="253"/>
      <c r="B243" s="253"/>
      <c r="C243" s="253"/>
      <c r="D243" s="254"/>
      <c r="E243" s="254"/>
      <c r="F243" s="253"/>
      <c r="G243" s="253"/>
      <c r="H243" s="253"/>
      <c r="I243" s="253"/>
      <c r="J243" s="253"/>
      <c r="K243" s="253"/>
      <c r="L243" s="253"/>
      <c r="M243" s="253"/>
      <c r="N243" s="253"/>
      <c r="O243" s="255"/>
      <c r="P243" s="255"/>
      <c r="Q243" s="255"/>
      <c r="R243" s="255"/>
      <c r="S243" s="255"/>
      <c r="T243" s="255"/>
      <c r="U243" s="255"/>
      <c r="V243" s="255"/>
      <c r="W243" s="255"/>
      <c r="X243" s="255"/>
      <c r="Y243" s="255"/>
      <c r="Z243" s="255"/>
      <c r="AA243" s="255"/>
      <c r="AB243" s="255"/>
      <c r="AC243" s="255"/>
      <c r="AD243" s="255"/>
      <c r="AE243" s="255"/>
      <c r="AF243" s="255"/>
      <c r="AG243" s="255"/>
    </row>
    <row r="244" spans="1:33" x14ac:dyDescent="0.3">
      <c r="A244" s="253"/>
      <c r="B244" s="253"/>
      <c r="C244" s="253"/>
      <c r="D244" s="254"/>
      <c r="E244" s="254"/>
      <c r="F244" s="253"/>
      <c r="G244" s="253"/>
      <c r="H244" s="253"/>
      <c r="I244" s="253"/>
      <c r="J244" s="253"/>
      <c r="K244" s="253"/>
      <c r="L244" s="253"/>
      <c r="M244" s="253"/>
      <c r="N244" s="253"/>
      <c r="O244" s="255"/>
      <c r="P244" s="255"/>
      <c r="Q244" s="255"/>
      <c r="R244" s="255"/>
      <c r="S244" s="255"/>
      <c r="T244" s="255"/>
      <c r="U244" s="255"/>
      <c r="V244" s="255"/>
      <c r="W244" s="255"/>
      <c r="X244" s="255"/>
      <c r="Y244" s="255"/>
      <c r="Z244" s="255"/>
      <c r="AA244" s="255"/>
      <c r="AB244" s="255"/>
      <c r="AC244" s="255"/>
      <c r="AD244" s="255"/>
      <c r="AE244" s="255"/>
      <c r="AF244" s="255"/>
      <c r="AG244" s="255"/>
    </row>
    <row r="245" spans="1:33" x14ac:dyDescent="0.3">
      <c r="A245" s="253"/>
      <c r="B245" s="253"/>
      <c r="C245" s="253"/>
      <c r="D245" s="254"/>
      <c r="E245" s="254"/>
      <c r="F245" s="253"/>
      <c r="G245" s="253"/>
      <c r="H245" s="253"/>
      <c r="I245" s="253"/>
      <c r="J245" s="253"/>
      <c r="K245" s="253"/>
      <c r="L245" s="253"/>
      <c r="M245" s="253"/>
      <c r="N245" s="253"/>
      <c r="O245" s="255"/>
      <c r="P245" s="255"/>
      <c r="Q245" s="255"/>
      <c r="R245" s="255"/>
      <c r="S245" s="255"/>
      <c r="T245" s="255"/>
      <c r="U245" s="255"/>
      <c r="V245" s="255"/>
      <c r="W245" s="255"/>
      <c r="X245" s="255"/>
      <c r="Y245" s="255"/>
      <c r="Z245" s="255"/>
      <c r="AA245" s="255"/>
      <c r="AB245" s="255"/>
      <c r="AC245" s="255"/>
      <c r="AD245" s="255"/>
      <c r="AE245" s="255"/>
      <c r="AF245" s="255"/>
      <c r="AG245" s="255"/>
    </row>
    <row r="246" spans="1:33" x14ac:dyDescent="0.3">
      <c r="A246" s="253"/>
      <c r="B246" s="253"/>
      <c r="C246" s="253"/>
      <c r="D246" s="254"/>
      <c r="E246" s="254"/>
      <c r="F246" s="253"/>
      <c r="G246" s="253"/>
      <c r="H246" s="253"/>
      <c r="I246" s="253"/>
      <c r="J246" s="253"/>
      <c r="K246" s="253"/>
      <c r="L246" s="253"/>
      <c r="M246" s="253"/>
      <c r="N246" s="253"/>
      <c r="O246" s="255"/>
      <c r="P246" s="255"/>
      <c r="Q246" s="255"/>
      <c r="R246" s="255"/>
      <c r="S246" s="255"/>
      <c r="T246" s="255"/>
      <c r="U246" s="255"/>
      <c r="V246" s="255"/>
      <c r="W246" s="255"/>
      <c r="X246" s="255"/>
      <c r="Y246" s="255"/>
      <c r="Z246" s="255"/>
      <c r="AA246" s="255"/>
      <c r="AB246" s="255"/>
      <c r="AC246" s="255"/>
      <c r="AD246" s="255"/>
      <c r="AE246" s="255"/>
      <c r="AF246" s="255"/>
      <c r="AG246" s="255"/>
    </row>
    <row r="247" spans="1:33" x14ac:dyDescent="0.3">
      <c r="A247" s="253"/>
      <c r="B247" s="253"/>
      <c r="C247" s="253"/>
      <c r="D247" s="254"/>
      <c r="E247" s="254"/>
      <c r="F247" s="253"/>
      <c r="G247" s="253"/>
      <c r="H247" s="253"/>
      <c r="I247" s="253"/>
      <c r="J247" s="253"/>
      <c r="K247" s="253"/>
      <c r="L247" s="253"/>
      <c r="M247" s="253"/>
      <c r="N247" s="253"/>
      <c r="O247" s="255"/>
      <c r="P247" s="255"/>
      <c r="Q247" s="255"/>
      <c r="R247" s="255"/>
      <c r="S247" s="255"/>
      <c r="T247" s="255"/>
      <c r="U247" s="255"/>
      <c r="V247" s="255"/>
      <c r="W247" s="255"/>
      <c r="X247" s="255"/>
      <c r="Y247" s="255"/>
      <c r="Z247" s="255"/>
      <c r="AA247" s="255"/>
      <c r="AB247" s="255"/>
      <c r="AC247" s="255"/>
      <c r="AD247" s="255"/>
      <c r="AE247" s="255"/>
      <c r="AF247" s="255"/>
      <c r="AG247" s="255"/>
    </row>
    <row r="248" spans="1:33" x14ac:dyDescent="0.3">
      <c r="A248" s="253"/>
      <c r="B248" s="253"/>
      <c r="C248" s="253"/>
      <c r="D248" s="254"/>
      <c r="E248" s="254"/>
      <c r="F248" s="253"/>
      <c r="G248" s="253"/>
      <c r="H248" s="253"/>
      <c r="I248" s="253"/>
      <c r="J248" s="253"/>
      <c r="K248" s="253"/>
      <c r="L248" s="253"/>
      <c r="M248" s="253"/>
      <c r="N248" s="253"/>
      <c r="O248" s="255"/>
      <c r="P248" s="255"/>
      <c r="Q248" s="255"/>
      <c r="R248" s="255"/>
      <c r="S248" s="255"/>
      <c r="T248" s="255"/>
      <c r="U248" s="255"/>
      <c r="V248" s="255"/>
      <c r="W248" s="255"/>
      <c r="X248" s="255"/>
      <c r="Y248" s="255"/>
      <c r="Z248" s="255"/>
      <c r="AA248" s="255"/>
      <c r="AB248" s="255"/>
      <c r="AC248" s="255"/>
      <c r="AD248" s="255"/>
      <c r="AE248" s="255"/>
      <c r="AF248" s="255"/>
      <c r="AG248" s="255"/>
    </row>
    <row r="249" spans="1:33" x14ac:dyDescent="0.3">
      <c r="A249" s="253"/>
      <c r="B249" s="253"/>
      <c r="C249" s="253"/>
      <c r="D249" s="254"/>
      <c r="E249" s="254"/>
      <c r="F249" s="253"/>
      <c r="G249" s="253"/>
      <c r="H249" s="253"/>
      <c r="I249" s="253"/>
      <c r="J249" s="253"/>
      <c r="K249" s="253"/>
      <c r="L249" s="253"/>
      <c r="M249" s="253"/>
      <c r="N249" s="253"/>
      <c r="O249" s="255"/>
      <c r="P249" s="255"/>
      <c r="Q249" s="255"/>
      <c r="R249" s="255"/>
      <c r="S249" s="255"/>
      <c r="T249" s="255"/>
      <c r="U249" s="255"/>
      <c r="V249" s="255"/>
      <c r="W249" s="255"/>
      <c r="X249" s="255"/>
      <c r="Y249" s="255"/>
      <c r="Z249" s="255"/>
      <c r="AA249" s="255"/>
      <c r="AB249" s="255"/>
      <c r="AC249" s="255"/>
      <c r="AD249" s="255"/>
      <c r="AE249" s="255"/>
      <c r="AF249" s="255"/>
      <c r="AG249" s="255"/>
    </row>
    <row r="250" spans="1:33" x14ac:dyDescent="0.3">
      <c r="A250" s="253"/>
      <c r="B250" s="253"/>
      <c r="C250" s="253"/>
      <c r="D250" s="254"/>
      <c r="E250" s="254"/>
      <c r="F250" s="253"/>
      <c r="G250" s="253"/>
      <c r="H250" s="260"/>
      <c r="I250" s="253"/>
      <c r="J250" s="253"/>
      <c r="K250" s="253"/>
      <c r="L250" s="253"/>
      <c r="M250" s="253"/>
      <c r="N250" s="253"/>
      <c r="O250" s="255"/>
      <c r="P250" s="255"/>
      <c r="Q250" s="255"/>
      <c r="R250" s="255"/>
      <c r="S250" s="255"/>
      <c r="T250" s="255"/>
      <c r="U250" s="255"/>
      <c r="V250" s="255"/>
      <c r="W250" s="255"/>
      <c r="X250" s="255"/>
      <c r="Y250" s="255"/>
      <c r="Z250" s="255"/>
      <c r="AA250" s="255"/>
      <c r="AB250" s="255"/>
      <c r="AC250" s="255"/>
      <c r="AD250" s="255"/>
      <c r="AE250" s="255"/>
      <c r="AF250" s="255"/>
      <c r="AG250" s="255"/>
    </row>
    <row r="251" spans="1:33" x14ac:dyDescent="0.3">
      <c r="A251" s="253"/>
      <c r="B251" s="253"/>
      <c r="C251" s="253"/>
      <c r="D251" s="254"/>
      <c r="E251" s="254"/>
      <c r="F251" s="253"/>
      <c r="G251" s="253"/>
      <c r="H251" s="259"/>
      <c r="I251" s="253"/>
      <c r="J251" s="253"/>
      <c r="K251" s="253"/>
      <c r="L251" s="253"/>
      <c r="M251" s="253"/>
      <c r="N251" s="253"/>
      <c r="O251" s="255"/>
      <c r="P251" s="255"/>
      <c r="Q251" s="255"/>
      <c r="R251" s="255"/>
      <c r="S251" s="255"/>
      <c r="T251" s="255"/>
      <c r="U251" s="255"/>
      <c r="V251" s="255"/>
      <c r="W251" s="255"/>
      <c r="X251" s="255"/>
      <c r="Y251" s="255"/>
      <c r="Z251" s="255"/>
      <c r="AA251" s="255"/>
      <c r="AB251" s="255"/>
      <c r="AC251" s="255"/>
      <c r="AD251" s="255"/>
      <c r="AE251" s="255"/>
      <c r="AF251" s="255"/>
      <c r="AG251" s="255"/>
    </row>
    <row r="252" spans="1:33" x14ac:dyDescent="0.3">
      <c r="A252" s="253"/>
      <c r="B252" s="253"/>
      <c r="C252" s="253"/>
      <c r="D252" s="254"/>
      <c r="E252" s="254"/>
      <c r="F252" s="253"/>
      <c r="G252" s="253"/>
      <c r="H252" s="259"/>
      <c r="I252" s="253"/>
      <c r="J252" s="253"/>
      <c r="K252" s="253"/>
      <c r="L252" s="253"/>
      <c r="M252" s="253"/>
      <c r="N252" s="253"/>
      <c r="O252" s="255"/>
      <c r="P252" s="255"/>
      <c r="Q252" s="255"/>
      <c r="R252" s="255"/>
      <c r="S252" s="255"/>
      <c r="T252" s="255"/>
      <c r="U252" s="255"/>
      <c r="V252" s="255"/>
      <c r="W252" s="255"/>
      <c r="X252" s="255"/>
      <c r="Y252" s="255"/>
      <c r="Z252" s="255"/>
      <c r="AA252" s="255"/>
      <c r="AB252" s="255"/>
      <c r="AC252" s="255"/>
      <c r="AD252" s="255"/>
      <c r="AE252" s="255"/>
      <c r="AF252" s="255"/>
      <c r="AG252" s="255"/>
    </row>
    <row r="253" spans="1:33" x14ac:dyDescent="0.3">
      <c r="A253" s="253"/>
      <c r="B253" s="253"/>
      <c r="C253" s="253"/>
      <c r="D253" s="254"/>
      <c r="E253" s="254"/>
      <c r="F253" s="254"/>
      <c r="G253" s="254"/>
      <c r="H253" s="259"/>
      <c r="I253" s="253"/>
      <c r="J253" s="253"/>
      <c r="K253" s="253"/>
      <c r="L253" s="253"/>
      <c r="M253" s="253"/>
      <c r="N253" s="253"/>
      <c r="O253" s="255"/>
      <c r="P253" s="255"/>
      <c r="Q253" s="255"/>
      <c r="R253" s="255"/>
      <c r="S253" s="255"/>
      <c r="T253" s="255"/>
      <c r="U253" s="255"/>
      <c r="V253" s="255"/>
      <c r="W253" s="255"/>
      <c r="X253" s="255"/>
      <c r="Y253" s="255"/>
      <c r="Z253" s="255"/>
      <c r="AA253" s="255"/>
      <c r="AB253" s="255"/>
      <c r="AC253" s="255"/>
      <c r="AD253" s="255"/>
      <c r="AE253" s="255"/>
      <c r="AF253" s="255"/>
      <c r="AG253" s="255"/>
    </row>
    <row r="254" spans="1:33" x14ac:dyDescent="0.3">
      <c r="A254" s="253"/>
      <c r="B254" s="253"/>
      <c r="C254" s="257"/>
      <c r="D254" s="254"/>
      <c r="E254" s="254"/>
      <c r="F254" s="254"/>
      <c r="G254" s="254"/>
      <c r="H254" s="253"/>
      <c r="I254" s="253"/>
      <c r="J254" s="253"/>
      <c r="K254" s="253"/>
      <c r="L254" s="253"/>
      <c r="M254" s="253"/>
      <c r="N254" s="253"/>
      <c r="O254" s="255"/>
      <c r="P254" s="255"/>
      <c r="Q254" s="255"/>
      <c r="R254" s="255"/>
      <c r="S254" s="255"/>
      <c r="T254" s="255"/>
      <c r="U254" s="255"/>
      <c r="V254" s="255"/>
      <c r="W254" s="255"/>
      <c r="X254" s="255"/>
      <c r="Y254" s="255"/>
      <c r="Z254" s="255"/>
      <c r="AA254" s="255"/>
      <c r="AB254" s="255"/>
      <c r="AC254" s="255"/>
      <c r="AD254" s="255"/>
      <c r="AE254" s="255"/>
      <c r="AF254" s="255"/>
      <c r="AG254" s="255"/>
    </row>
    <row r="255" spans="1:33" x14ac:dyDescent="0.3">
      <c r="A255" s="253"/>
      <c r="B255" s="253"/>
      <c r="C255" s="253"/>
      <c r="D255" s="254"/>
      <c r="E255" s="254"/>
      <c r="F255" s="253"/>
      <c r="G255" s="253"/>
      <c r="H255" s="253"/>
      <c r="I255" s="253"/>
      <c r="J255" s="253"/>
      <c r="K255" s="253"/>
      <c r="L255" s="253"/>
      <c r="M255" s="253"/>
      <c r="N255" s="253"/>
      <c r="O255" s="255"/>
      <c r="P255" s="255"/>
      <c r="Q255" s="255"/>
      <c r="R255" s="255"/>
      <c r="S255" s="255"/>
      <c r="T255" s="255"/>
      <c r="U255" s="255"/>
      <c r="V255" s="255"/>
      <c r="W255" s="255"/>
      <c r="X255" s="255"/>
      <c r="Y255" s="255"/>
      <c r="Z255" s="255"/>
      <c r="AA255" s="255"/>
      <c r="AB255" s="255"/>
      <c r="AC255" s="255"/>
      <c r="AD255" s="255"/>
      <c r="AE255" s="255"/>
      <c r="AF255" s="255"/>
      <c r="AG255" s="255"/>
    </row>
    <row r="256" spans="1:33" x14ac:dyDescent="0.3">
      <c r="A256" s="253"/>
      <c r="B256" s="253"/>
      <c r="C256" s="253"/>
      <c r="D256" s="254"/>
      <c r="E256" s="254"/>
      <c r="F256" s="253"/>
      <c r="G256" s="253"/>
      <c r="H256" s="253"/>
      <c r="I256" s="253"/>
      <c r="J256" s="253"/>
      <c r="K256" s="253"/>
      <c r="L256" s="253"/>
      <c r="M256" s="253"/>
      <c r="N256" s="253"/>
      <c r="O256" s="255"/>
      <c r="P256" s="255"/>
      <c r="Q256" s="255"/>
      <c r="R256" s="255"/>
      <c r="S256" s="255"/>
      <c r="T256" s="255"/>
      <c r="U256" s="255"/>
      <c r="V256" s="255"/>
      <c r="W256" s="255"/>
      <c r="X256" s="255"/>
      <c r="Y256" s="255"/>
      <c r="Z256" s="255"/>
      <c r="AA256" s="255"/>
      <c r="AB256" s="255"/>
      <c r="AC256" s="255"/>
      <c r="AD256" s="255"/>
      <c r="AE256" s="255"/>
      <c r="AF256" s="255"/>
      <c r="AG256" s="255"/>
    </row>
    <row r="257" spans="1:33" x14ac:dyDescent="0.3">
      <c r="A257" s="253"/>
      <c r="B257" s="253"/>
      <c r="C257" s="254"/>
      <c r="D257" s="254"/>
      <c r="E257" s="254"/>
      <c r="F257" s="253"/>
      <c r="G257" s="253"/>
      <c r="H257" s="253"/>
      <c r="I257" s="253"/>
      <c r="J257" s="253"/>
      <c r="K257" s="253"/>
      <c r="L257" s="253"/>
      <c r="M257" s="253"/>
      <c r="N257" s="253"/>
      <c r="O257" s="255"/>
      <c r="P257" s="255"/>
      <c r="Q257" s="255"/>
      <c r="R257" s="255"/>
      <c r="S257" s="255"/>
      <c r="T257" s="255"/>
      <c r="U257" s="255"/>
      <c r="V257" s="255"/>
      <c r="W257" s="255"/>
      <c r="X257" s="255"/>
      <c r="Y257" s="255"/>
      <c r="Z257" s="255"/>
      <c r="AA257" s="255"/>
      <c r="AB257" s="255"/>
      <c r="AC257" s="255"/>
      <c r="AD257" s="255"/>
      <c r="AE257" s="255"/>
      <c r="AF257" s="255"/>
      <c r="AG257" s="255"/>
    </row>
    <row r="258" spans="1:33" x14ac:dyDescent="0.3">
      <c r="A258" s="253"/>
      <c r="B258" s="253"/>
      <c r="C258" s="254"/>
      <c r="D258" s="254"/>
      <c r="E258" s="254"/>
      <c r="F258" s="253"/>
      <c r="G258" s="253"/>
      <c r="H258" s="253"/>
      <c r="I258" s="253"/>
      <c r="J258" s="253"/>
      <c r="K258" s="253"/>
      <c r="L258" s="253"/>
      <c r="M258" s="253"/>
      <c r="N258" s="253"/>
      <c r="O258" s="255"/>
      <c r="P258" s="255"/>
      <c r="Q258" s="255"/>
      <c r="R258" s="255"/>
      <c r="S258" s="255"/>
      <c r="T258" s="255"/>
      <c r="U258" s="255"/>
      <c r="V258" s="255"/>
      <c r="W258" s="255"/>
      <c r="X258" s="255"/>
      <c r="Y258" s="255"/>
      <c r="Z258" s="255"/>
      <c r="AA258" s="255"/>
      <c r="AB258" s="255"/>
      <c r="AC258" s="255"/>
      <c r="AD258" s="255"/>
      <c r="AE258" s="255"/>
      <c r="AF258" s="255"/>
      <c r="AG258" s="255"/>
    </row>
    <row r="259" spans="1:33" x14ac:dyDescent="0.3">
      <c r="A259" s="253"/>
      <c r="B259" s="253"/>
      <c r="C259" s="253"/>
      <c r="D259" s="254"/>
      <c r="E259" s="254"/>
      <c r="F259" s="253"/>
      <c r="G259" s="253"/>
      <c r="H259" s="253"/>
      <c r="I259" s="253"/>
      <c r="J259" s="253"/>
      <c r="K259" s="253"/>
      <c r="L259" s="253"/>
      <c r="M259" s="253"/>
      <c r="N259" s="253"/>
      <c r="O259" s="255"/>
      <c r="P259" s="255"/>
      <c r="Q259" s="255"/>
      <c r="R259" s="255"/>
      <c r="S259" s="255"/>
      <c r="T259" s="255"/>
      <c r="U259" s="255"/>
      <c r="V259" s="255"/>
      <c r="W259" s="255"/>
      <c r="X259" s="255"/>
      <c r="Y259" s="255"/>
      <c r="Z259" s="255"/>
      <c r="AA259" s="255"/>
      <c r="AB259" s="255"/>
      <c r="AC259" s="255"/>
      <c r="AD259" s="255"/>
      <c r="AE259" s="255"/>
      <c r="AF259" s="255"/>
      <c r="AG259" s="255"/>
    </row>
    <row r="260" spans="1:33" x14ac:dyDescent="0.3">
      <c r="A260" s="253"/>
      <c r="B260" s="253"/>
      <c r="C260" s="253"/>
      <c r="D260" s="254"/>
      <c r="E260" s="254"/>
      <c r="F260" s="253"/>
      <c r="G260" s="253"/>
      <c r="H260" s="253"/>
      <c r="I260" s="253"/>
      <c r="J260" s="253"/>
      <c r="K260" s="253"/>
      <c r="L260" s="253"/>
      <c r="M260" s="253"/>
      <c r="N260" s="253"/>
      <c r="O260" s="255"/>
      <c r="P260" s="255"/>
      <c r="Q260" s="255"/>
      <c r="R260" s="255"/>
      <c r="S260" s="255"/>
      <c r="T260" s="255"/>
      <c r="U260" s="255"/>
      <c r="V260" s="255"/>
      <c r="W260" s="255"/>
      <c r="X260" s="255"/>
      <c r="Y260" s="255"/>
      <c r="Z260" s="255"/>
      <c r="AA260" s="255"/>
      <c r="AB260" s="255"/>
      <c r="AC260" s="255"/>
      <c r="AD260" s="255"/>
      <c r="AE260" s="255"/>
      <c r="AF260" s="255"/>
      <c r="AG260" s="255"/>
    </row>
    <row r="261" spans="1:33" x14ac:dyDescent="0.3">
      <c r="A261" s="253"/>
      <c r="B261" s="253"/>
      <c r="C261" s="253"/>
      <c r="D261" s="254"/>
      <c r="E261" s="254"/>
      <c r="F261" s="253"/>
      <c r="G261" s="253"/>
      <c r="H261" s="253"/>
      <c r="I261" s="253"/>
      <c r="J261" s="253"/>
      <c r="K261" s="253"/>
      <c r="L261" s="253"/>
      <c r="M261" s="253"/>
      <c r="N261" s="253"/>
      <c r="O261" s="255"/>
      <c r="P261" s="255"/>
      <c r="Q261" s="255"/>
      <c r="R261" s="255"/>
      <c r="S261" s="255"/>
      <c r="T261" s="255"/>
      <c r="U261" s="255"/>
      <c r="V261" s="255"/>
      <c r="W261" s="255"/>
      <c r="X261" s="255"/>
      <c r="Y261" s="255"/>
      <c r="Z261" s="255"/>
      <c r="AA261" s="255"/>
      <c r="AB261" s="255"/>
      <c r="AC261" s="255"/>
      <c r="AD261" s="255"/>
      <c r="AE261" s="255"/>
      <c r="AF261" s="255"/>
      <c r="AG261" s="255"/>
    </row>
    <row r="262" spans="1:33" x14ac:dyDescent="0.3">
      <c r="A262" s="253"/>
      <c r="B262" s="253"/>
      <c r="C262" s="253"/>
      <c r="D262" s="254"/>
    </row>
    <row r="263" spans="1:33" x14ac:dyDescent="0.3">
      <c r="A263" s="253"/>
      <c r="B263" s="253"/>
      <c r="C263" s="253"/>
      <c r="D263" s="254"/>
    </row>
    <row r="264" spans="1:33" x14ac:dyDescent="0.3">
      <c r="A264" s="253"/>
      <c r="B264" s="253"/>
      <c r="C264" s="253"/>
      <c r="D264" s="254"/>
    </row>
    <row r="265" spans="1:33" x14ac:dyDescent="0.3">
      <c r="A265" s="253"/>
      <c r="B265" s="253"/>
      <c r="C265" s="253"/>
      <c r="D265" s="254"/>
    </row>
    <row r="297" spans="3:3" ht="15" customHeight="1" x14ac:dyDescent="0.3"/>
    <row r="301" spans="3:3" ht="18" x14ac:dyDescent="0.35">
      <c r="C301" s="261"/>
    </row>
    <row r="322" spans="3:16" x14ac:dyDescent="0.3">
      <c r="H322" s="252"/>
      <c r="N322" s="252"/>
      <c r="O322" s="247"/>
      <c r="P322" s="247"/>
    </row>
    <row r="323" spans="3:16" x14ac:dyDescent="0.3">
      <c r="N323" s="252"/>
      <c r="O323" s="247"/>
      <c r="P323" s="247"/>
    </row>
    <row r="324" spans="3:16" x14ac:dyDescent="0.3">
      <c r="E324" s="247"/>
      <c r="O324" s="247"/>
      <c r="P324" s="247"/>
    </row>
    <row r="325" spans="3:16" x14ac:dyDescent="0.3">
      <c r="E325" s="247"/>
      <c r="O325" s="247"/>
      <c r="P325" s="247"/>
    </row>
    <row r="326" spans="3:16" x14ac:dyDescent="0.3">
      <c r="C326" s="252"/>
      <c r="E326" s="247"/>
      <c r="O326" s="247"/>
      <c r="P326" s="247"/>
    </row>
    <row r="327" spans="3:16" x14ac:dyDescent="0.3">
      <c r="E327" s="247"/>
    </row>
    <row r="328" spans="3:16" x14ac:dyDescent="0.3">
      <c r="D328" s="247"/>
      <c r="E328" s="247"/>
    </row>
    <row r="329" spans="3:16" x14ac:dyDescent="0.3">
      <c r="D329" s="247"/>
      <c r="E329" s="247"/>
    </row>
    <row r="330" spans="3:16" x14ac:dyDescent="0.3">
      <c r="D330" s="247"/>
      <c r="E330" s="247"/>
    </row>
    <row r="331" spans="3:16" x14ac:dyDescent="0.3">
      <c r="D331" s="247"/>
      <c r="E331" s="247"/>
    </row>
    <row r="332" spans="3:16" x14ac:dyDescent="0.3">
      <c r="D332" s="247"/>
      <c r="E332" s="247"/>
    </row>
    <row r="333" spans="3:16" x14ac:dyDescent="0.3">
      <c r="D333" s="247"/>
      <c r="E333" s="247"/>
    </row>
    <row r="334" spans="3:16" x14ac:dyDescent="0.3">
      <c r="D334" s="247"/>
      <c r="E334" s="247"/>
    </row>
    <row r="335" spans="3:16" x14ac:dyDescent="0.3">
      <c r="D335" s="247"/>
      <c r="E335" s="247"/>
    </row>
    <row r="336" spans="3:16" x14ac:dyDescent="0.3">
      <c r="D336" s="247"/>
      <c r="E336" s="247"/>
    </row>
    <row r="337" spans="4:5" x14ac:dyDescent="0.3">
      <c r="D337" s="247"/>
      <c r="E337" s="247"/>
    </row>
    <row r="338" spans="4:5" x14ac:dyDescent="0.3">
      <c r="D338" s="247"/>
    </row>
    <row r="339" spans="4:5" x14ac:dyDescent="0.3">
      <c r="D339" s="247"/>
    </row>
    <row r="340" spans="4:5" x14ac:dyDescent="0.3">
      <c r="D340" s="247"/>
    </row>
    <row r="341" spans="4:5" x14ac:dyDescent="0.3">
      <c r="D341" s="247"/>
    </row>
    <row r="395" spans="3:3" ht="18" x14ac:dyDescent="0.35">
      <c r="C395" s="261"/>
    </row>
    <row r="410" spans="3:33" x14ac:dyDescent="0.3">
      <c r="O410" s="247"/>
      <c r="P410" s="247"/>
      <c r="Q410" s="247"/>
      <c r="R410" s="247"/>
      <c r="S410" s="247"/>
    </row>
    <row r="411" spans="3:33" x14ac:dyDescent="0.3">
      <c r="O411" s="247"/>
      <c r="P411" s="247"/>
      <c r="Q411" s="247"/>
      <c r="R411" s="247"/>
      <c r="S411" s="247"/>
    </row>
    <row r="412" spans="3:33" x14ac:dyDescent="0.3">
      <c r="O412" s="247"/>
      <c r="P412" s="247"/>
      <c r="Q412" s="247"/>
      <c r="R412" s="247"/>
      <c r="S412" s="247"/>
    </row>
    <row r="413" spans="3:33" x14ac:dyDescent="0.3">
      <c r="E413" s="247"/>
      <c r="O413" s="247"/>
      <c r="P413" s="247"/>
      <c r="Q413" s="247"/>
      <c r="R413" s="247"/>
      <c r="S413" s="247"/>
      <c r="T413" s="247"/>
      <c r="U413" s="247"/>
      <c r="V413" s="247"/>
    </row>
    <row r="414" spans="3:33" x14ac:dyDescent="0.3">
      <c r="E414" s="247"/>
      <c r="O414" s="247"/>
      <c r="P414" s="247"/>
      <c r="Q414" s="247"/>
      <c r="R414" s="247"/>
      <c r="S414" s="247"/>
      <c r="T414" s="247"/>
      <c r="U414" s="247"/>
      <c r="V414" s="247"/>
      <c r="W414" s="263"/>
      <c r="X414" s="263"/>
      <c r="Y414" s="263"/>
      <c r="Z414" s="263"/>
      <c r="AA414" s="263"/>
      <c r="AB414" s="263"/>
      <c r="AC414" s="263"/>
      <c r="AD414" s="263"/>
      <c r="AE414" s="263"/>
      <c r="AF414" s="263"/>
      <c r="AG414" s="263"/>
    </row>
    <row r="415" spans="3:33" x14ac:dyDescent="0.3">
      <c r="E415" s="247"/>
      <c r="O415" s="247"/>
      <c r="P415" s="247"/>
      <c r="Q415" s="247"/>
      <c r="R415" s="247"/>
      <c r="S415" s="247"/>
      <c r="T415" s="247"/>
      <c r="U415" s="247"/>
      <c r="V415" s="247"/>
      <c r="W415" s="263"/>
      <c r="X415" s="263"/>
      <c r="Y415" s="263"/>
      <c r="Z415" s="263"/>
      <c r="AA415" s="263"/>
      <c r="AB415" s="263"/>
      <c r="AC415" s="263"/>
      <c r="AD415" s="263"/>
      <c r="AE415" s="263"/>
      <c r="AF415" s="263"/>
      <c r="AG415" s="263"/>
    </row>
    <row r="416" spans="3:33" ht="21" x14ac:dyDescent="0.4">
      <c r="C416" s="262"/>
      <c r="E416" s="247"/>
      <c r="O416" s="247"/>
      <c r="P416" s="247"/>
      <c r="Q416" s="247"/>
      <c r="R416" s="247"/>
      <c r="S416" s="247"/>
      <c r="T416" s="247"/>
      <c r="U416" s="247"/>
      <c r="V416" s="247"/>
    </row>
    <row r="417" spans="4:22" x14ac:dyDescent="0.3">
      <c r="D417" s="247"/>
      <c r="E417" s="247"/>
      <c r="O417" s="247"/>
      <c r="P417" s="247"/>
      <c r="Q417" s="247"/>
      <c r="R417" s="247"/>
      <c r="S417" s="247"/>
      <c r="T417" s="247"/>
      <c r="U417" s="247"/>
      <c r="V417" s="247"/>
    </row>
    <row r="418" spans="4:22" x14ac:dyDescent="0.3">
      <c r="D418" s="247"/>
      <c r="E418" s="247"/>
      <c r="O418" s="247"/>
      <c r="P418" s="247"/>
      <c r="Q418" s="247"/>
      <c r="R418" s="247"/>
      <c r="S418" s="247"/>
      <c r="T418" s="247"/>
      <c r="U418" s="247"/>
      <c r="V418" s="247"/>
    </row>
    <row r="419" spans="4:22" x14ac:dyDescent="0.3">
      <c r="D419" s="247"/>
    </row>
    <row r="420" spans="4:22" x14ac:dyDescent="0.3">
      <c r="D420" s="247"/>
    </row>
    <row r="421" spans="4:22" x14ac:dyDescent="0.3">
      <c r="D421" s="247"/>
      <c r="O421" s="247"/>
      <c r="P421" s="247"/>
    </row>
    <row r="422" spans="4:22" x14ac:dyDescent="0.3">
      <c r="D422" s="247"/>
      <c r="O422" s="247"/>
      <c r="P422" s="247"/>
    </row>
    <row r="423" spans="4:22" x14ac:dyDescent="0.3">
      <c r="O423" s="247"/>
      <c r="P423" s="247"/>
    </row>
    <row r="424" spans="4:22" ht="15" customHeight="1" x14ac:dyDescent="0.3">
      <c r="O424" s="247"/>
      <c r="P424" s="247"/>
    </row>
    <row r="425" spans="4:22" x14ac:dyDescent="0.3">
      <c r="O425" s="247"/>
      <c r="P425" s="247"/>
    </row>
    <row r="426" spans="4:22" x14ac:dyDescent="0.3">
      <c r="O426" s="247"/>
      <c r="P426" s="247"/>
    </row>
    <row r="427" spans="4:22" x14ac:dyDescent="0.3">
      <c r="O427" s="247"/>
      <c r="P427" s="247"/>
    </row>
    <row r="428" spans="4:22" x14ac:dyDescent="0.3">
      <c r="O428" s="247"/>
      <c r="P428" s="247"/>
    </row>
    <row r="429" spans="4:22" x14ac:dyDescent="0.3">
      <c r="O429" s="247"/>
      <c r="P429" s="247"/>
    </row>
    <row r="430" spans="4:22" x14ac:dyDescent="0.3">
      <c r="O430" s="247"/>
      <c r="P430" s="247"/>
    </row>
    <row r="431" spans="4:22" ht="15" customHeight="1" x14ac:dyDescent="0.3">
      <c r="O431" s="247"/>
      <c r="P431" s="247"/>
    </row>
    <row r="432" spans="4:22" x14ac:dyDescent="0.3">
      <c r="O432" s="247"/>
      <c r="P432" s="247"/>
    </row>
    <row r="433" spans="4:19" x14ac:dyDescent="0.3">
      <c r="O433" s="247"/>
      <c r="P433" s="247"/>
    </row>
    <row r="434" spans="4:19" x14ac:dyDescent="0.3">
      <c r="O434" s="247"/>
      <c r="P434" s="247"/>
      <c r="R434" s="247"/>
      <c r="S434" s="247"/>
    </row>
    <row r="435" spans="4:19" x14ac:dyDescent="0.3">
      <c r="O435" s="247"/>
      <c r="P435" s="247"/>
    </row>
    <row r="436" spans="4:19" x14ac:dyDescent="0.3">
      <c r="O436" s="247"/>
      <c r="P436" s="247"/>
    </row>
    <row r="437" spans="4:19" x14ac:dyDescent="0.3">
      <c r="O437" s="247"/>
      <c r="P437" s="247"/>
    </row>
    <row r="438" spans="4:19" x14ac:dyDescent="0.3">
      <c r="E438" s="247"/>
      <c r="O438" s="247"/>
      <c r="P438" s="247"/>
    </row>
    <row r="439" spans="4:19" x14ac:dyDescent="0.3">
      <c r="E439" s="247"/>
    </row>
    <row r="440" spans="4:19" x14ac:dyDescent="0.3">
      <c r="E440" s="247"/>
    </row>
    <row r="441" spans="4:19" x14ac:dyDescent="0.3">
      <c r="E441" s="247"/>
    </row>
    <row r="442" spans="4:19" x14ac:dyDescent="0.3">
      <c r="D442" s="247"/>
      <c r="E442" s="247"/>
    </row>
    <row r="443" spans="4:19" x14ac:dyDescent="0.3">
      <c r="D443" s="247"/>
      <c r="E443" s="247"/>
    </row>
    <row r="444" spans="4:19" x14ac:dyDescent="0.3">
      <c r="D444" s="247"/>
      <c r="E444" s="247"/>
    </row>
    <row r="445" spans="4:19" x14ac:dyDescent="0.3">
      <c r="D445" s="247"/>
      <c r="E445" s="247"/>
    </row>
    <row r="446" spans="4:19" x14ac:dyDescent="0.3">
      <c r="D446" s="247"/>
      <c r="E446" s="247"/>
    </row>
    <row r="447" spans="4:19" x14ac:dyDescent="0.3">
      <c r="D447" s="247"/>
      <c r="E447" s="247"/>
    </row>
    <row r="448" spans="4:19" x14ac:dyDescent="0.3">
      <c r="D448" s="247"/>
      <c r="E448" s="247"/>
    </row>
    <row r="449" spans="4:4" x14ac:dyDescent="0.3">
      <c r="D449" s="247"/>
    </row>
    <row r="450" spans="4:4" x14ac:dyDescent="0.3">
      <c r="D450" s="247"/>
    </row>
    <row r="451" spans="4:4" x14ac:dyDescent="0.3">
      <c r="D451" s="247"/>
    </row>
    <row r="452" spans="4:4" x14ac:dyDescent="0.3">
      <c r="D452" s="247"/>
    </row>
    <row r="497" spans="4:17" x14ac:dyDescent="0.3">
      <c r="E497" s="247"/>
      <c r="O497" s="247"/>
      <c r="P497" s="247"/>
      <c r="Q497" s="247"/>
    </row>
    <row r="498" spans="4:17" x14ac:dyDescent="0.3">
      <c r="E498" s="247"/>
      <c r="O498" s="247"/>
      <c r="P498" s="247"/>
      <c r="Q498" s="247"/>
    </row>
    <row r="499" spans="4:17" x14ac:dyDescent="0.3">
      <c r="E499" s="247"/>
      <c r="O499" s="247"/>
      <c r="P499" s="247"/>
      <c r="Q499" s="247"/>
    </row>
    <row r="500" spans="4:17" x14ac:dyDescent="0.3">
      <c r="E500" s="247"/>
      <c r="O500" s="247"/>
      <c r="P500" s="247"/>
      <c r="Q500" s="247"/>
    </row>
    <row r="501" spans="4:17" x14ac:dyDescent="0.3">
      <c r="D501" s="247"/>
      <c r="E501" s="247"/>
      <c r="O501" s="247"/>
      <c r="P501" s="247"/>
      <c r="Q501" s="247"/>
    </row>
    <row r="502" spans="4:17" x14ac:dyDescent="0.3">
      <c r="D502" s="247"/>
      <c r="E502" s="247"/>
      <c r="O502" s="247"/>
      <c r="P502" s="247"/>
      <c r="Q502" s="247"/>
    </row>
    <row r="503" spans="4:17" x14ac:dyDescent="0.3">
      <c r="D503" s="247"/>
      <c r="E503" s="247"/>
      <c r="O503" s="247"/>
      <c r="P503" s="247"/>
      <c r="Q503" s="247"/>
    </row>
    <row r="504" spans="4:17" x14ac:dyDescent="0.3">
      <c r="D504" s="247"/>
      <c r="E504" s="247"/>
      <c r="O504" s="247"/>
      <c r="P504" s="247"/>
      <c r="Q504" s="247"/>
    </row>
    <row r="505" spans="4:17" x14ac:dyDescent="0.3">
      <c r="D505" s="247"/>
      <c r="E505" s="247"/>
      <c r="O505" s="247"/>
      <c r="P505" s="247"/>
      <c r="Q505" s="247"/>
    </row>
    <row r="506" spans="4:17" x14ac:dyDescent="0.3">
      <c r="D506" s="247"/>
      <c r="E506" s="247"/>
      <c r="O506" s="247"/>
      <c r="P506" s="247"/>
      <c r="Q506" s="247"/>
    </row>
    <row r="507" spans="4:17" x14ac:dyDescent="0.3">
      <c r="D507" s="247"/>
      <c r="E507" s="247"/>
      <c r="O507" s="247"/>
      <c r="P507" s="247"/>
      <c r="Q507" s="247"/>
    </row>
    <row r="508" spans="4:17" x14ac:dyDescent="0.3">
      <c r="D508" s="247"/>
      <c r="E508" s="247"/>
      <c r="O508" s="247"/>
      <c r="P508" s="247"/>
      <c r="Q508" s="247"/>
    </row>
    <row r="509" spans="4:17" x14ac:dyDescent="0.3">
      <c r="D509" s="247"/>
      <c r="E509" s="247"/>
      <c r="O509" s="247"/>
      <c r="P509" s="247"/>
      <c r="Q509" s="247"/>
    </row>
    <row r="510" spans="4:17" x14ac:dyDescent="0.3">
      <c r="D510" s="247"/>
      <c r="E510" s="247"/>
      <c r="O510" s="247"/>
      <c r="P510" s="247"/>
      <c r="Q510" s="247"/>
    </row>
    <row r="511" spans="4:17" x14ac:dyDescent="0.3">
      <c r="D511" s="247"/>
      <c r="E511" s="247"/>
      <c r="O511" s="247"/>
      <c r="P511" s="247"/>
      <c r="Q511" s="247"/>
    </row>
    <row r="512" spans="4:17" x14ac:dyDescent="0.3">
      <c r="D512" s="247"/>
      <c r="E512" s="247"/>
      <c r="O512" s="247"/>
      <c r="P512" s="247"/>
      <c r="Q512" s="247"/>
    </row>
    <row r="513" spans="4:17" x14ac:dyDescent="0.3">
      <c r="D513" s="247"/>
      <c r="E513" s="247"/>
      <c r="O513" s="247"/>
      <c r="P513" s="247"/>
      <c r="Q513" s="247"/>
    </row>
    <row r="514" spans="4:17" x14ac:dyDescent="0.3">
      <c r="D514" s="247"/>
      <c r="E514" s="247"/>
      <c r="O514" s="247"/>
      <c r="P514" s="247"/>
      <c r="Q514" s="247"/>
    </row>
    <row r="515" spans="4:17" x14ac:dyDescent="0.3">
      <c r="D515" s="247"/>
      <c r="E515" s="247"/>
      <c r="O515" s="247"/>
      <c r="P515" s="247"/>
      <c r="Q515" s="247"/>
    </row>
    <row r="516" spans="4:17" x14ac:dyDescent="0.3">
      <c r="D516" s="247"/>
      <c r="E516" s="247"/>
      <c r="O516" s="247"/>
      <c r="P516" s="247"/>
      <c r="Q516" s="247"/>
    </row>
    <row r="517" spans="4:17" x14ac:dyDescent="0.3">
      <c r="D517" s="247"/>
      <c r="E517" s="247"/>
      <c r="O517" s="247"/>
      <c r="P517" s="247"/>
      <c r="Q517" s="247"/>
    </row>
    <row r="518" spans="4:17" x14ac:dyDescent="0.3">
      <c r="D518" s="247"/>
      <c r="E518" s="247"/>
      <c r="O518" s="247"/>
      <c r="P518" s="247"/>
      <c r="Q518" s="247"/>
    </row>
    <row r="519" spans="4:17" x14ac:dyDescent="0.3">
      <c r="D519" s="247"/>
      <c r="E519" s="247"/>
      <c r="O519" s="247"/>
      <c r="P519" s="247"/>
      <c r="Q519" s="247"/>
    </row>
    <row r="520" spans="4:17" x14ac:dyDescent="0.3">
      <c r="D520" s="247"/>
    </row>
    <row r="521" spans="4:17" x14ac:dyDescent="0.3">
      <c r="D521" s="247"/>
    </row>
    <row r="522" spans="4:17" x14ac:dyDescent="0.3">
      <c r="D522" s="247"/>
    </row>
    <row r="523" spans="4:17" x14ac:dyDescent="0.3">
      <c r="D523" s="247"/>
    </row>
    <row r="610" spans="4:17" x14ac:dyDescent="0.3">
      <c r="O610" s="247"/>
      <c r="P610" s="247"/>
      <c r="Q610" s="247"/>
    </row>
    <row r="611" spans="4:17" x14ac:dyDescent="0.3">
      <c r="O611" s="247"/>
      <c r="P611" s="247"/>
      <c r="Q611" s="247"/>
    </row>
    <row r="612" spans="4:17" x14ac:dyDescent="0.3">
      <c r="O612" s="247"/>
      <c r="P612" s="247"/>
      <c r="Q612" s="247"/>
    </row>
    <row r="613" spans="4:17" x14ac:dyDescent="0.3">
      <c r="O613" s="247"/>
      <c r="P613" s="247"/>
      <c r="Q613" s="247"/>
    </row>
    <row r="614" spans="4:17" x14ac:dyDescent="0.3">
      <c r="O614" s="247"/>
      <c r="P614" s="247"/>
      <c r="Q614" s="247"/>
    </row>
    <row r="615" spans="4:17" x14ac:dyDescent="0.3">
      <c r="O615" s="247"/>
      <c r="P615" s="247"/>
      <c r="Q615" s="247"/>
    </row>
    <row r="616" spans="4:17" x14ac:dyDescent="0.3">
      <c r="O616" s="247"/>
      <c r="P616" s="247"/>
      <c r="Q616" s="247"/>
    </row>
    <row r="617" spans="4:17" x14ac:dyDescent="0.3">
      <c r="O617" s="247"/>
      <c r="P617" s="247"/>
      <c r="Q617" s="247"/>
    </row>
    <row r="618" spans="4:17" x14ac:dyDescent="0.3">
      <c r="O618" s="247"/>
      <c r="P618" s="247"/>
      <c r="Q618" s="247"/>
    </row>
    <row r="619" spans="4:17" x14ac:dyDescent="0.3">
      <c r="O619" s="247"/>
      <c r="P619" s="247"/>
      <c r="Q619" s="247"/>
    </row>
    <row r="620" spans="4:17" x14ac:dyDescent="0.3">
      <c r="E620" s="247"/>
      <c r="O620" s="247"/>
      <c r="P620" s="247"/>
      <c r="Q620" s="247"/>
    </row>
    <row r="621" spans="4:17" x14ac:dyDescent="0.3">
      <c r="E621" s="247"/>
      <c r="O621" s="247"/>
      <c r="P621" s="247"/>
      <c r="Q621" s="247"/>
    </row>
    <row r="622" spans="4:17" x14ac:dyDescent="0.3">
      <c r="E622" s="247"/>
    </row>
    <row r="623" spans="4:17" x14ac:dyDescent="0.3">
      <c r="E623" s="247"/>
    </row>
    <row r="624" spans="4:17" x14ac:dyDescent="0.3">
      <c r="D624" s="247"/>
      <c r="E624" s="247"/>
    </row>
    <row r="625" spans="4:5" x14ac:dyDescent="0.3">
      <c r="D625" s="247"/>
      <c r="E625" s="247"/>
    </row>
    <row r="626" spans="4:5" x14ac:dyDescent="0.3">
      <c r="D626" s="247"/>
    </row>
    <row r="627" spans="4:5" x14ac:dyDescent="0.3">
      <c r="D627" s="247"/>
    </row>
    <row r="628" spans="4:5" x14ac:dyDescent="0.3">
      <c r="D628" s="247"/>
    </row>
    <row r="629" spans="4:5" x14ac:dyDescent="0.3">
      <c r="D629" s="247"/>
    </row>
    <row r="712" spans="5:19" x14ac:dyDescent="0.3">
      <c r="O712" s="252"/>
    </row>
    <row r="713" spans="5:19" x14ac:dyDescent="0.3">
      <c r="O713" s="252"/>
    </row>
    <row r="714" spans="5:19" x14ac:dyDescent="0.3">
      <c r="O714" s="252"/>
    </row>
    <row r="715" spans="5:19" x14ac:dyDescent="0.3">
      <c r="O715" s="252"/>
    </row>
    <row r="716" spans="5:19" x14ac:dyDescent="0.3">
      <c r="O716" s="252"/>
      <c r="R716" s="247"/>
      <c r="S716" s="247"/>
    </row>
    <row r="717" spans="5:19" x14ac:dyDescent="0.3">
      <c r="E717" s="247"/>
      <c r="O717" s="252"/>
      <c r="R717" s="247"/>
      <c r="S717" s="247"/>
    </row>
    <row r="718" spans="5:19" x14ac:dyDescent="0.3">
      <c r="E718" s="247"/>
      <c r="O718" s="252"/>
      <c r="R718" s="247"/>
      <c r="S718" s="247"/>
    </row>
    <row r="719" spans="5:19" x14ac:dyDescent="0.3">
      <c r="E719" s="247"/>
      <c r="O719" s="252"/>
    </row>
    <row r="720" spans="5:19" x14ac:dyDescent="0.3">
      <c r="E720" s="247"/>
    </row>
    <row r="721" spans="4:5" x14ac:dyDescent="0.3">
      <c r="D721" s="247"/>
      <c r="E721" s="247"/>
    </row>
    <row r="722" spans="4:5" x14ac:dyDescent="0.3">
      <c r="D722" s="247"/>
      <c r="E722" s="247"/>
    </row>
    <row r="723" spans="4:5" x14ac:dyDescent="0.3">
      <c r="D723" s="247"/>
      <c r="E723" s="247"/>
    </row>
    <row r="724" spans="4:5" x14ac:dyDescent="0.3">
      <c r="D724" s="247"/>
      <c r="E724" s="247"/>
    </row>
    <row r="725" spans="4:5" x14ac:dyDescent="0.3">
      <c r="D725" s="247"/>
      <c r="E725" s="247"/>
    </row>
    <row r="726" spans="4:5" x14ac:dyDescent="0.3">
      <c r="D726" s="247"/>
      <c r="E726" s="247"/>
    </row>
    <row r="727" spans="4:5" x14ac:dyDescent="0.3">
      <c r="D727" s="247"/>
      <c r="E727" s="247"/>
    </row>
    <row r="728" spans="4:5" x14ac:dyDescent="0.3">
      <c r="D728" s="247"/>
      <c r="E728" s="247"/>
    </row>
    <row r="729" spans="4:5" x14ac:dyDescent="0.3">
      <c r="D729" s="247"/>
      <c r="E729" s="247"/>
    </row>
    <row r="730" spans="4:5" x14ac:dyDescent="0.3">
      <c r="D730" s="247"/>
      <c r="E730" s="247"/>
    </row>
    <row r="731" spans="4:5" x14ac:dyDescent="0.3">
      <c r="D731" s="247"/>
      <c r="E731" s="247"/>
    </row>
    <row r="732" spans="4:5" x14ac:dyDescent="0.3">
      <c r="D732" s="247"/>
      <c r="E732" s="247"/>
    </row>
    <row r="733" spans="4:5" x14ac:dyDescent="0.3">
      <c r="D733" s="247"/>
      <c r="E733" s="247"/>
    </row>
    <row r="734" spans="4:5" x14ac:dyDescent="0.3">
      <c r="D734" s="247"/>
      <c r="E734" s="247"/>
    </row>
    <row r="735" spans="4:5" x14ac:dyDescent="0.3">
      <c r="D735" s="247"/>
    </row>
    <row r="736" spans="4:5" x14ac:dyDescent="0.3">
      <c r="D736" s="247"/>
    </row>
    <row r="737" spans="4:4" x14ac:dyDescent="0.3">
      <c r="D737" s="247"/>
    </row>
    <row r="738" spans="4:4" x14ac:dyDescent="0.3">
      <c r="D738" s="247"/>
    </row>
    <row r="800" spans="3:3" ht="18" x14ac:dyDescent="0.35">
      <c r="C800" s="261"/>
    </row>
    <row r="824" spans="3:33" x14ac:dyDescent="0.3">
      <c r="P824" s="398"/>
      <c r="Q824" s="398"/>
      <c r="R824" s="398"/>
      <c r="S824" s="398"/>
      <c r="T824" s="398"/>
      <c r="U824" s="264"/>
      <c r="V824" s="264"/>
      <c r="W824" s="264"/>
      <c r="X824" s="264"/>
      <c r="Y824" s="264"/>
      <c r="Z824" s="264"/>
      <c r="AA824" s="264"/>
      <c r="AB824" s="264"/>
      <c r="AC824" s="264"/>
      <c r="AD824" s="264"/>
      <c r="AE824" s="264"/>
      <c r="AF824" s="264"/>
      <c r="AG824" s="264"/>
    </row>
    <row r="825" spans="3:33" x14ac:dyDescent="0.3">
      <c r="P825" s="398"/>
      <c r="Q825" s="398"/>
      <c r="R825" s="398"/>
      <c r="S825" s="398"/>
      <c r="T825" s="398"/>
      <c r="U825" s="264"/>
      <c r="V825" s="264"/>
      <c r="W825" s="264"/>
      <c r="X825" s="264"/>
      <c r="Y825" s="264"/>
      <c r="Z825" s="264"/>
      <c r="AA825" s="264"/>
      <c r="AB825" s="264"/>
      <c r="AC825" s="264"/>
      <c r="AD825" s="264"/>
      <c r="AE825" s="264"/>
      <c r="AF825" s="264"/>
      <c r="AG825" s="264"/>
    </row>
    <row r="826" spans="3:33" x14ac:dyDescent="0.3">
      <c r="P826" s="398"/>
      <c r="Q826" s="398"/>
      <c r="R826" s="398"/>
      <c r="S826" s="398"/>
      <c r="T826" s="398"/>
      <c r="U826" s="264"/>
      <c r="V826" s="264"/>
      <c r="W826" s="264"/>
      <c r="X826" s="264"/>
      <c r="Y826" s="264"/>
      <c r="Z826" s="264"/>
      <c r="AA826" s="264"/>
      <c r="AB826" s="264"/>
      <c r="AC826" s="264"/>
      <c r="AD826" s="264"/>
      <c r="AE826" s="264"/>
      <c r="AF826" s="264"/>
      <c r="AG826" s="264"/>
    </row>
    <row r="827" spans="3:33" ht="21" x14ac:dyDescent="0.4">
      <c r="E827" s="265"/>
      <c r="F827" s="265"/>
      <c r="G827" s="265"/>
      <c r="P827" s="398"/>
      <c r="Q827" s="398"/>
      <c r="R827" s="398"/>
      <c r="S827" s="398"/>
      <c r="T827" s="398"/>
      <c r="U827" s="264"/>
      <c r="V827" s="264"/>
      <c r="W827" s="264"/>
      <c r="X827" s="264"/>
      <c r="Y827" s="264"/>
      <c r="Z827" s="264"/>
      <c r="AA827" s="264"/>
      <c r="AB827" s="264"/>
      <c r="AC827" s="264"/>
      <c r="AD827" s="264"/>
      <c r="AE827" s="264"/>
      <c r="AF827" s="264"/>
      <c r="AG827" s="264"/>
    </row>
    <row r="831" spans="3:33" ht="21" x14ac:dyDescent="0.4">
      <c r="C831" s="265"/>
      <c r="D831" s="265"/>
    </row>
  </sheetData>
  <sheetProtection algorithmName="SHA-512" hashValue="IcAtzm2x02ChmvRH43Wl4HzevXI5UhbZjpsNhk/ThzErt618+AxRnAxiLwaoskBaObvZ5x4qopVECrkiaYgYcQ==" saltValue="ACxfnf4wHPpI1RVTs4BLjw==" spinCount="100000" sheet="1" objects="1" scenarios="1"/>
  <sortState ref="G3:H41">
    <sortCondition ref="H3:H41"/>
  </sortState>
  <mergeCells count="16">
    <mergeCell ref="K1:N1"/>
    <mergeCell ref="P1:Q1"/>
    <mergeCell ref="A57:A65"/>
    <mergeCell ref="EH41:EK41"/>
    <mergeCell ref="EG3:EK3"/>
    <mergeCell ref="EH6:EK6"/>
    <mergeCell ref="EG18:EK18"/>
    <mergeCell ref="EH31:EK31"/>
    <mergeCell ref="EG38:EK38"/>
    <mergeCell ref="EH21:EK21"/>
    <mergeCell ref="EG28:EK28"/>
    <mergeCell ref="AX79:AZ79"/>
    <mergeCell ref="A3:A22"/>
    <mergeCell ref="A23:A32"/>
    <mergeCell ref="A33:A56"/>
    <mergeCell ref="P824:T827"/>
  </mergeCells>
  <conditionalFormatting sqref="D3:D65">
    <cfRule type="cellIs" dxfId="163" priority="236" operator="greaterThan">
      <formula>0</formula>
    </cfRule>
  </conditionalFormatting>
  <conditionalFormatting sqref="B23:B32">
    <cfRule type="expression" dxfId="162" priority="231">
      <formula>$AQ$68=0</formula>
    </cfRule>
  </conditionalFormatting>
  <conditionalFormatting sqref="B33:B56">
    <cfRule type="expression" dxfId="161" priority="230">
      <formula>$AQ$69=0</formula>
    </cfRule>
  </conditionalFormatting>
  <conditionalFormatting sqref="O22:R22">
    <cfRule type="expression" dxfId="160" priority="168">
      <formula>$CE$46=1</formula>
    </cfRule>
  </conditionalFormatting>
  <conditionalFormatting sqref="O30:Q30">
    <cfRule type="expression" dxfId="159" priority="167">
      <formula>$CE$64=1</formula>
    </cfRule>
  </conditionalFormatting>
  <conditionalFormatting sqref="K16">
    <cfRule type="expression" dxfId="158" priority="166">
      <formula>$CH$56&gt;0</formula>
    </cfRule>
  </conditionalFormatting>
  <conditionalFormatting sqref="J13:L13">
    <cfRule type="expression" dxfId="157" priority="258">
      <formula>$CH$60=1</formula>
    </cfRule>
  </conditionalFormatting>
  <conditionalFormatting sqref="J4 L4 O4:Q4">
    <cfRule type="expression" dxfId="156" priority="162">
      <formula>$CN$13+$CN$36+$CN$48+$CN$55&gt;0</formula>
    </cfRule>
  </conditionalFormatting>
  <conditionalFormatting sqref="J7 L7:N7">
    <cfRule type="expression" dxfId="155" priority="161">
      <formula>$CN$21+$CN$29&gt;0</formula>
    </cfRule>
  </conditionalFormatting>
  <conditionalFormatting sqref="P21:R21">
    <cfRule type="expression" dxfId="154" priority="160">
      <formula>$CQ$16&gt;0</formula>
    </cfRule>
  </conditionalFormatting>
  <conditionalFormatting sqref="N48:P48">
    <cfRule type="expression" dxfId="153" priority="159">
      <formula>$CQ$69=1</formula>
    </cfRule>
  </conditionalFormatting>
  <conditionalFormatting sqref="Q40">
    <cfRule type="expression" dxfId="152" priority="259">
      <formula>$CT$10&gt;0</formula>
    </cfRule>
  </conditionalFormatting>
  <conditionalFormatting sqref="P41:Q41">
    <cfRule type="expression" dxfId="151" priority="260">
      <formula>$CT$12&gt;0</formula>
    </cfRule>
  </conditionalFormatting>
  <conditionalFormatting sqref="J46">
    <cfRule type="expression" dxfId="150" priority="153">
      <formula>$CT$58+$CT$51&gt;0</formula>
    </cfRule>
  </conditionalFormatting>
  <conditionalFormatting sqref="P13:Q13">
    <cfRule type="expression" dxfId="149" priority="151">
      <formula>$CW$16+$CW$65&gt;0</formula>
    </cfRule>
  </conditionalFormatting>
  <conditionalFormatting sqref="Q17:Q18">
    <cfRule type="expression" dxfId="148" priority="150">
      <formula>$CW$10&gt;0</formula>
    </cfRule>
  </conditionalFormatting>
  <conditionalFormatting sqref="Q47:S47">
    <cfRule type="expression" dxfId="147" priority="149">
      <formula>$CW$34=1</formula>
    </cfRule>
  </conditionalFormatting>
  <conditionalFormatting sqref="S43:S44">
    <cfRule type="expression" dxfId="146" priority="148">
      <formula>$CW$26+$CW$30&gt;0</formula>
    </cfRule>
  </conditionalFormatting>
  <conditionalFormatting sqref="S45">
    <cfRule type="expression" dxfId="145" priority="147">
      <formula>$CW$22+$CW$30&gt;0</formula>
    </cfRule>
  </conditionalFormatting>
  <conditionalFormatting sqref="S46">
    <cfRule type="expression" dxfId="144" priority="146">
      <formula>$CW$22+$CW$26&gt;0</formula>
    </cfRule>
  </conditionalFormatting>
  <conditionalFormatting sqref="O43:O44">
    <cfRule type="expression" dxfId="143" priority="145">
      <formula>$CQ$26&gt;0</formula>
    </cfRule>
  </conditionalFormatting>
  <conditionalFormatting sqref="O45">
    <cfRule type="expression" dxfId="142" priority="144">
      <formula>$CQ$65&gt;0</formula>
    </cfRule>
  </conditionalFormatting>
  <conditionalFormatting sqref="O46">
    <cfRule type="expression" dxfId="141" priority="143">
      <formula>$CQ$39&gt;0</formula>
    </cfRule>
  </conditionalFormatting>
  <conditionalFormatting sqref="O47">
    <cfRule type="expression" dxfId="140" priority="142">
      <formula>$CQ$52&gt;0</formula>
    </cfRule>
  </conditionalFormatting>
  <conditionalFormatting sqref="AW48:AW53">
    <cfRule type="expression" dxfId="139" priority="140">
      <formula>$CT$41&gt;0</formula>
    </cfRule>
    <cfRule type="expression" dxfId="138" priority="141">
      <formula>$CT$39&gt;0</formula>
    </cfRule>
  </conditionalFormatting>
  <conditionalFormatting sqref="AW47 AW44">
    <cfRule type="expression" dxfId="137" priority="138">
      <formula>$CT$27&gt;0</formula>
    </cfRule>
    <cfRule type="expression" dxfId="136" priority="139">
      <formula>$CT$20&gt;0</formula>
    </cfRule>
  </conditionalFormatting>
  <conditionalFormatting sqref="C14:C15 C19:C20">
    <cfRule type="expression" dxfId="135" priority="136">
      <formula>$CT$25&gt;0</formula>
    </cfRule>
  </conditionalFormatting>
  <conditionalFormatting sqref="C14:C15 C19:C20">
    <cfRule type="expression" dxfId="134" priority="135">
      <formula>$CT$27&gt;0</formula>
    </cfRule>
  </conditionalFormatting>
  <conditionalFormatting sqref="Q26:S26 Q28:S28">
    <cfRule type="expression" dxfId="133" priority="134">
      <formula>$CQ$14&gt;0</formula>
    </cfRule>
  </conditionalFormatting>
  <conditionalFormatting sqref="AZ82">
    <cfRule type="expression" dxfId="132" priority="132">
      <formula>$CT$56&gt;0</formula>
    </cfRule>
  </conditionalFormatting>
  <conditionalFormatting sqref="C3:C9 C23:C27 C33:C36 C63:C65 C45:C60">
    <cfRule type="expression" dxfId="131" priority="130">
      <formula>$BD$16=1</formula>
    </cfRule>
  </conditionalFormatting>
  <conditionalFormatting sqref="EH2 EH17 EH27 EH37">
    <cfRule type="expression" dxfId="130" priority="127">
      <formula>$CY$80&gt;0</formula>
    </cfRule>
  </conditionalFormatting>
  <conditionalFormatting sqref="G53">
    <cfRule type="expression" dxfId="129" priority="126">
      <formula>$CT$20&gt;0</formula>
    </cfRule>
  </conditionalFormatting>
  <conditionalFormatting sqref="G53">
    <cfRule type="expression" dxfId="128" priority="125">
      <formula>$CT$27&gt;0</formula>
    </cfRule>
  </conditionalFormatting>
  <conditionalFormatting sqref="AW50">
    <cfRule type="expression" dxfId="127" priority="123">
      <formula>$CT$27&gt;0</formula>
    </cfRule>
    <cfRule type="expression" dxfId="126" priority="124">
      <formula>$CT$20&gt;0</formula>
    </cfRule>
  </conditionalFormatting>
  <conditionalFormatting sqref="AW55">
    <cfRule type="expression" dxfId="125" priority="121">
      <formula>$CT$27&gt;0</formula>
    </cfRule>
    <cfRule type="expression" dxfId="124" priority="122">
      <formula>$CT$20&gt;0</formula>
    </cfRule>
  </conditionalFormatting>
  <conditionalFormatting sqref="AW56">
    <cfRule type="expression" dxfId="123" priority="119">
      <formula>$CT$27&gt;0</formula>
    </cfRule>
    <cfRule type="expression" dxfId="122" priority="120">
      <formula>$CT$20&gt;0</formula>
    </cfRule>
  </conditionalFormatting>
  <conditionalFormatting sqref="AW57">
    <cfRule type="expression" dxfId="121" priority="117">
      <formula>$CT$27&gt;0</formula>
    </cfRule>
    <cfRule type="expression" dxfId="120" priority="118">
      <formula>$CT$20&gt;0</formula>
    </cfRule>
  </conditionalFormatting>
  <conditionalFormatting sqref="DT24">
    <cfRule type="expression" dxfId="119" priority="112">
      <formula>$BD$16=1</formula>
    </cfRule>
  </conditionalFormatting>
  <conditionalFormatting sqref="DT25">
    <cfRule type="expression" dxfId="118" priority="111">
      <formula>$BD$16=1</formula>
    </cfRule>
  </conditionalFormatting>
  <conditionalFormatting sqref="DT26">
    <cfRule type="expression" dxfId="117" priority="110">
      <formula>$BD$16=1</formula>
    </cfRule>
  </conditionalFormatting>
  <conditionalFormatting sqref="L63:L66">
    <cfRule type="expression" dxfId="116" priority="870">
      <formula>$AZ$62+$AZ$63+$AZ$64+$AZ$65&gt;0</formula>
    </cfRule>
    <cfRule type="expression" dxfId="115" priority="871">
      <formula>$AZ$60+$AZ$61=1</formula>
    </cfRule>
  </conditionalFormatting>
  <conditionalFormatting sqref="D2:E2">
    <cfRule type="expression" dxfId="114" priority="1096">
      <formula>$AQ$71&gt;0</formula>
    </cfRule>
  </conditionalFormatting>
  <conditionalFormatting sqref="B3:B22">
    <cfRule type="expression" dxfId="113" priority="1097">
      <formula>$AQ$67=0</formula>
    </cfRule>
  </conditionalFormatting>
  <conditionalFormatting sqref="B57:B65">
    <cfRule type="expression" dxfId="112" priority="1100">
      <formula>$AQ$70=0</formula>
    </cfRule>
  </conditionalFormatting>
  <conditionalFormatting sqref="G55">
    <cfRule type="expression" dxfId="111" priority="1128">
      <formula>$CK$74=1</formula>
    </cfRule>
  </conditionalFormatting>
  <conditionalFormatting sqref="Q20">
    <cfRule type="expression" dxfId="110" priority="60">
      <formula>$BD$16=1</formula>
    </cfRule>
  </conditionalFormatting>
  <conditionalFormatting sqref="Q37:R37">
    <cfRule type="expression" dxfId="109" priority="59">
      <formula>$CW$46&gt;1</formula>
    </cfRule>
  </conditionalFormatting>
  <conditionalFormatting sqref="Q31:R31">
    <cfRule type="expression" dxfId="108" priority="58">
      <formula>$CW$42&gt;1</formula>
    </cfRule>
  </conditionalFormatting>
  <conditionalFormatting sqref="M19:N19">
    <cfRule type="expression" dxfId="107" priority="57">
      <formula>$CW$51&gt;1</formula>
    </cfRule>
  </conditionalFormatting>
  <conditionalFormatting sqref="L10">
    <cfRule type="expression" dxfId="106" priority="55">
      <formula>$CN$67</formula>
    </cfRule>
  </conditionalFormatting>
  <conditionalFormatting sqref="K10:K11">
    <cfRule type="expression" dxfId="105" priority="2856">
      <formula>$BD$12&gt;1</formula>
    </cfRule>
    <cfRule type="expression" dxfId="104" priority="2857">
      <formula>$BD$12=1</formula>
    </cfRule>
    <cfRule type="expression" dxfId="103" priority="2858">
      <formula>$AQ$67&gt;0</formula>
    </cfRule>
  </conditionalFormatting>
  <conditionalFormatting sqref="K50">
    <cfRule type="expression" dxfId="102" priority="2861">
      <formula>$AQ$67=0</formula>
    </cfRule>
  </conditionalFormatting>
  <conditionalFormatting sqref="L5:N5">
    <cfRule type="expression" dxfId="101" priority="2865">
      <formula>$BK$5&gt;1</formula>
    </cfRule>
    <cfRule type="expression" dxfId="100" priority="2866">
      <formula>$BK$5=1</formula>
    </cfRule>
    <cfRule type="expression" dxfId="99" priority="2867">
      <formula>$AQ$67&gt;0</formula>
    </cfRule>
  </conditionalFormatting>
  <conditionalFormatting sqref="P33:P36">
    <cfRule type="expression" dxfId="98" priority="2868">
      <formula>$BL$39&gt;1</formula>
    </cfRule>
    <cfRule type="expression" dxfId="97" priority="2869">
      <formula>$BL$39=1</formula>
    </cfRule>
    <cfRule type="expression" dxfId="96" priority="2870">
      <formula>$AQ$68&gt;0</formula>
    </cfRule>
  </conditionalFormatting>
  <conditionalFormatting sqref="K52:K54">
    <cfRule type="expression" dxfId="95" priority="2871">
      <formula>$BD$75&gt;1</formula>
    </cfRule>
    <cfRule type="expression" dxfId="94" priority="2872">
      <formula>$BD$75=1</formula>
    </cfRule>
    <cfRule type="expression" dxfId="93" priority="2873">
      <formula>$AQ$68+$AQ$69&gt;0</formula>
    </cfRule>
  </conditionalFormatting>
  <conditionalFormatting sqref="L6:N6">
    <cfRule type="expression" dxfId="92" priority="2877">
      <formula>$BK$6&gt;1</formula>
    </cfRule>
    <cfRule type="expression" dxfId="91" priority="2878">
      <formula>$BK$6=1</formula>
    </cfRule>
    <cfRule type="expression" dxfId="90" priority="2879">
      <formula>$AQ$68&gt;0</formula>
    </cfRule>
  </conditionalFormatting>
  <conditionalFormatting sqref="P24:P29">
    <cfRule type="expression" dxfId="89" priority="2880">
      <formula>$BL$31&gt;1</formula>
    </cfRule>
    <cfRule type="expression" dxfId="88" priority="2881">
      <formula>$BL$31=1</formula>
    </cfRule>
    <cfRule type="expression" dxfId="87" priority="2882">
      <formula>$AQ$69&gt;0</formula>
    </cfRule>
  </conditionalFormatting>
  <conditionalFormatting sqref="P39:P40">
    <cfRule type="expression" dxfId="86" priority="2889">
      <formula>$BI$43&gt;1</formula>
    </cfRule>
    <cfRule type="expression" dxfId="85" priority="2890">
      <formula>$BI$43=1</formula>
    </cfRule>
    <cfRule type="expression" dxfId="84" priority="2891">
      <formula>$AQ$70&gt;0</formula>
    </cfRule>
  </conditionalFormatting>
  <conditionalFormatting sqref="K56:K57">
    <cfRule type="expression" dxfId="83" priority="2892">
      <formula>$BD$76&gt;1</formula>
    </cfRule>
    <cfRule type="expression" dxfId="82" priority="2893">
      <formula>$BD$76=1</formula>
    </cfRule>
    <cfRule type="expression" dxfId="81" priority="2894">
      <formula>$AQ$70&gt;0</formula>
    </cfRule>
  </conditionalFormatting>
  <conditionalFormatting sqref="J15:J16">
    <cfRule type="expression" dxfId="80" priority="2895">
      <formula>$BD$17&gt;1</formula>
    </cfRule>
    <cfRule type="expression" dxfId="79" priority="2896">
      <formula>$BD$17=1</formula>
    </cfRule>
    <cfRule type="expression" dxfId="78" priority="2897">
      <formula>$AQ$71&gt;0</formula>
    </cfRule>
  </conditionalFormatting>
  <conditionalFormatting sqref="R49:R50">
    <cfRule type="expression" dxfId="77" priority="2901">
      <formula>$BM$57&gt;1</formula>
    </cfRule>
    <cfRule type="expression" dxfId="76" priority="2902">
      <formula>$BM$57=1</formula>
    </cfRule>
    <cfRule type="expression" dxfId="75" priority="2903">
      <formula>$AQ$70&gt;0</formula>
    </cfRule>
  </conditionalFormatting>
  <conditionalFormatting sqref="L7:N7">
    <cfRule type="expression" dxfId="74" priority="2904">
      <formula>$BK$7&gt;1</formula>
    </cfRule>
    <cfRule type="expression" dxfId="73" priority="2905">
      <formula>$BK$7=1</formula>
    </cfRule>
    <cfRule type="expression" dxfId="72" priority="2906">
      <formula>$AQ$69&gt;0</formula>
    </cfRule>
  </conditionalFormatting>
  <conditionalFormatting sqref="L4 O4:Q4">
    <cfRule type="expression" dxfId="71" priority="2907">
      <formula>$BK$4&gt;1</formula>
    </cfRule>
    <cfRule type="expression" dxfId="70" priority="2908">
      <formula>$BK$4=1</formula>
    </cfRule>
    <cfRule type="expression" dxfId="69" priority="2909">
      <formula>$AQ$70&gt;0</formula>
    </cfRule>
  </conditionalFormatting>
  <conditionalFormatting sqref="O55">
    <cfRule type="expression" dxfId="68" priority="2918">
      <formula>$AQ$68+$AQ$69=0</formula>
    </cfRule>
  </conditionalFormatting>
  <conditionalFormatting sqref="P15:P20">
    <cfRule type="expression" dxfId="67" priority="2919">
      <formula>$BL$17&gt;1</formula>
    </cfRule>
    <cfRule type="expression" dxfId="66" priority="2920">
      <formula>$BL$17=1</formula>
    </cfRule>
    <cfRule type="expression" dxfId="65" priority="2921">
      <formula>$AQ$67&gt;0</formula>
    </cfRule>
  </conditionalFormatting>
  <conditionalFormatting sqref="L60:L62">
    <cfRule type="expression" dxfId="64" priority="2928">
      <formula>$AZ$59+$AZ$60+$AZ$61&gt;1</formula>
    </cfRule>
    <cfRule type="expression" dxfId="63" priority="2929">
      <formula>$AZ$59+$AZ$60+$AZ$61=1</formula>
    </cfRule>
    <cfRule type="expression" dxfId="62" priority="2930">
      <formula>$AQ$67&gt;0</formula>
    </cfRule>
  </conditionalFormatting>
  <conditionalFormatting sqref="G47">
    <cfRule type="expression" dxfId="61" priority="48">
      <formula>$CT$20&gt;0</formula>
    </cfRule>
  </conditionalFormatting>
  <conditionalFormatting sqref="G47">
    <cfRule type="expression" dxfId="60" priority="47">
      <formula>$CT$27&gt;0</formula>
    </cfRule>
  </conditionalFormatting>
  <conditionalFormatting sqref="K34:K35">
    <cfRule type="expression" dxfId="59" priority="2931">
      <formula>$BD$34+$BD$35&gt;1</formula>
    </cfRule>
    <cfRule type="expression" dxfId="58" priority="2932">
      <formula>$BD$34+$BD$35=1</formula>
    </cfRule>
    <cfRule type="expression" dxfId="57" priority="2933">
      <formula>$BD$31+$BD$32&gt;0</formula>
    </cfRule>
  </conditionalFormatting>
  <conditionalFormatting sqref="K38:K39">
    <cfRule type="expression" dxfId="56" priority="2949">
      <formula>$BD$40&gt;1</formula>
    </cfRule>
    <cfRule type="expression" dxfId="55" priority="2950">
      <formula>$BD$40=1</formula>
    </cfRule>
    <cfRule type="expression" dxfId="54" priority="2951">
      <formula>$AQ$68+$AQ$69&gt;0</formula>
    </cfRule>
  </conditionalFormatting>
  <conditionalFormatting sqref="J43:J45">
    <cfRule type="expression" dxfId="53" priority="2988">
      <formula>$AX$86&gt;1</formula>
    </cfRule>
    <cfRule type="expression" dxfId="52" priority="2989">
      <formula>$AX$86=1</formula>
    </cfRule>
    <cfRule type="expression" dxfId="51" priority="2990">
      <formula>$AQ$71&gt;0</formula>
    </cfRule>
  </conditionalFormatting>
  <conditionalFormatting sqref="K20:K32">
    <cfRule type="expression" dxfId="50" priority="2934">
      <formula>$BD$33&gt;1</formula>
    </cfRule>
    <cfRule type="expression" dxfId="49" priority="2935">
      <formula>$BD$33=1</formula>
    </cfRule>
    <cfRule type="expression" dxfId="48" priority="2936">
      <formula>$AQ$67&gt;0</formula>
    </cfRule>
  </conditionalFormatting>
  <conditionalFormatting sqref="L2:L3 N2:P3 L11 P11 P12 Q15:Q16 Q27:Q29 Q34 Q36">
    <cfRule type="expression" dxfId="47" priority="27">
      <formula>$BD$16=1</formula>
    </cfRule>
  </conditionalFormatting>
  <conditionalFormatting sqref="L39 Q39 O43 O45:O47 S44:S46 S50 M61:M66">
    <cfRule type="expression" dxfId="46" priority="26">
      <formula>$BD$16=1</formula>
    </cfRule>
  </conditionalFormatting>
  <conditionalFormatting sqref="G57">
    <cfRule type="expression" dxfId="45" priority="25">
      <formula>SUM($CK$37,$CK$39:$CK$44,$CK$46:$CK$66,$CK$68)&gt;0</formula>
    </cfRule>
  </conditionalFormatting>
  <conditionalFormatting sqref="G58">
    <cfRule type="expression" dxfId="44" priority="24">
      <formula>$CK$45=1</formula>
    </cfRule>
  </conditionalFormatting>
  <conditionalFormatting sqref="G57:G66 G68:G71">
    <cfRule type="expression" dxfId="43" priority="22">
      <formula>SUM($CK$4:$CK$17)&gt;0</formula>
    </cfRule>
  </conditionalFormatting>
  <conditionalFormatting sqref="G67">
    <cfRule type="expression" dxfId="42" priority="21">
      <formula>SUM($CK$38:$CK$58,$CK$60)&gt;0</formula>
    </cfRule>
  </conditionalFormatting>
  <conditionalFormatting sqref="Q18">
    <cfRule type="expression" dxfId="41" priority="17">
      <formula>$CW$63&gt;0</formula>
    </cfRule>
  </conditionalFormatting>
  <conditionalFormatting sqref="Q15">
    <cfRule type="expression" dxfId="40" priority="16">
      <formula>$AO$21+$AO$22&gt;0</formula>
    </cfRule>
  </conditionalFormatting>
  <conditionalFormatting sqref="O10:O12">
    <cfRule type="expression" dxfId="39" priority="3035">
      <formula>$BH$13&gt;1</formula>
    </cfRule>
    <cfRule type="expression" dxfId="38" priority="3036">
      <formula>$BH$13=1</formula>
    </cfRule>
    <cfRule type="expression" dxfId="37" priority="3037">
      <formula>$AQ$67&gt;0</formula>
    </cfRule>
  </conditionalFormatting>
  <conditionalFormatting sqref="M9:N9">
    <cfRule type="expression" dxfId="36" priority="15">
      <formula>$CN$77&gt;0</formula>
    </cfRule>
  </conditionalFormatting>
  <conditionalFormatting sqref="J5">
    <cfRule type="expression" dxfId="35" priority="14">
      <formula>$CN$67&gt;0</formula>
    </cfRule>
  </conditionalFormatting>
  <conditionalFormatting sqref="L16">
    <cfRule type="expression" dxfId="34" priority="13">
      <formula>SUM($BD$21:$BD$32)*$BD$16&gt;0</formula>
    </cfRule>
  </conditionalFormatting>
  <conditionalFormatting sqref="F57:F71">
    <cfRule type="expression" dxfId="33" priority="3104">
      <formula>$AU$77&gt;1</formula>
    </cfRule>
    <cfRule type="expression" dxfId="32" priority="3105">
      <formula>$AU$77=1</formula>
    </cfRule>
    <cfRule type="expression" dxfId="31" priority="3106">
      <formula>$AQ$67&gt;0</formula>
    </cfRule>
  </conditionalFormatting>
  <conditionalFormatting sqref="N43:N45">
    <cfRule type="expression" dxfId="30" priority="2883">
      <formula>$BH$51&gt;1</formula>
    </cfRule>
    <cfRule type="expression" dxfId="29" priority="2884">
      <formula>$BH$51=1</formula>
    </cfRule>
    <cfRule type="expression" dxfId="28" priority="2885">
      <formula>$AQ$70&gt;0</formula>
    </cfRule>
  </conditionalFormatting>
  <conditionalFormatting sqref="R43:R44">
    <cfRule type="expression" dxfId="27" priority="2886">
      <formula>$BN$51&gt;1</formula>
    </cfRule>
    <cfRule type="expression" dxfId="26" priority="2887">
      <formula>$BN$51=1</formula>
    </cfRule>
    <cfRule type="expression" dxfId="25" priority="2888">
      <formula>$AQ$70&gt;0</formula>
    </cfRule>
  </conditionalFormatting>
  <conditionalFormatting sqref="O51:O53">
    <cfRule type="expression" dxfId="24" priority="2862">
      <formula>$BI$72&gt;1</formula>
    </cfRule>
    <cfRule type="expression" dxfId="23" priority="2863">
      <formula>$BI$72=1</formula>
    </cfRule>
    <cfRule type="expression" dxfId="22" priority="2864">
      <formula>$AQ$67&gt;0</formula>
    </cfRule>
  </conditionalFormatting>
  <conditionalFormatting sqref="G31">
    <cfRule type="expression" dxfId="21" priority="12">
      <formula>$CT$20&gt;0</formula>
    </cfRule>
  </conditionalFormatting>
  <conditionalFormatting sqref="G31">
    <cfRule type="expression" dxfId="20" priority="11">
      <formula>$CT$27&gt;0</formula>
    </cfRule>
  </conditionalFormatting>
  <conditionalFormatting sqref="G32">
    <cfRule type="expression" dxfId="19" priority="10">
      <formula>$CT$20&gt;0</formula>
    </cfRule>
  </conditionalFormatting>
  <conditionalFormatting sqref="G32">
    <cfRule type="expression" dxfId="18" priority="9">
      <formula>$CT$27&gt;0</formula>
    </cfRule>
  </conditionalFormatting>
  <conditionalFormatting sqref="G35">
    <cfRule type="expression" dxfId="17" priority="8">
      <formula>$CT$20&gt;0</formula>
    </cfRule>
  </conditionalFormatting>
  <conditionalFormatting sqref="G35">
    <cfRule type="expression" dxfId="16" priority="7">
      <formula>$CT$27&gt;0</formula>
    </cfRule>
  </conditionalFormatting>
  <conditionalFormatting sqref="AW31">
    <cfRule type="expression" dxfId="15" priority="6">
      <formula>$CT$20&gt;0</formula>
    </cfRule>
  </conditionalFormatting>
  <conditionalFormatting sqref="AW31">
    <cfRule type="expression" dxfId="14" priority="5">
      <formula>$CT$27&gt;0</formula>
    </cfRule>
  </conditionalFormatting>
  <conditionalFormatting sqref="AW32">
    <cfRule type="expression" dxfId="13" priority="4">
      <formula>$CT$20&gt;0</formula>
    </cfRule>
  </conditionalFormatting>
  <conditionalFormatting sqref="AW32">
    <cfRule type="expression" dxfId="12" priority="3">
      <formula>$CT$27&gt;0</formula>
    </cfRule>
  </conditionalFormatting>
  <conditionalFormatting sqref="AW35">
    <cfRule type="expression" dxfId="11" priority="2">
      <formula>$CT$20&gt;0</formula>
    </cfRule>
  </conditionalFormatting>
  <conditionalFormatting sqref="AW35">
    <cfRule type="expression" dxfId="10" priority="1">
      <formula>$CT$27&gt;0</formula>
    </cfRule>
  </conditionalFormatting>
  <conditionalFormatting sqref="F3:F39">
    <cfRule type="expression" dxfId="9" priority="2898">
      <formula>$AU$55&gt;1</formula>
    </cfRule>
    <cfRule type="expression" dxfId="8" priority="2899">
      <formula>$AU$55=1</formula>
    </cfRule>
    <cfRule type="expression" dxfId="7" priority="2900">
      <formula>$AQ$71&gt;0</formula>
    </cfRule>
  </conditionalFormatting>
  <conditionalFormatting sqref="H3:H26">
    <cfRule type="expression" dxfId="6" priority="51">
      <formula>$BA$43&gt;1</formula>
    </cfRule>
    <cfRule type="expression" dxfId="5" priority="52">
      <formula>$BA$43=1</formula>
    </cfRule>
    <cfRule type="expression" dxfId="4" priority="53">
      <formula>$AU$68+$AU$69+$AU$71+$AU$75+$AU$76&gt;0</formula>
    </cfRule>
  </conditionalFormatting>
  <hyperlinks>
    <hyperlink ref="C331" location="OmniDrum!A22" display="Click to return to order guide"/>
    <hyperlink ref="C327:G327" location="Legacy!B20" display="Click to return to order guide"/>
  </hyperlinks>
  <pageMargins left="0.45" right="0.45" top="0.5" bottom="0.5" header="0.3" footer="0.3"/>
  <pageSetup scale="9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T282"/>
  <sheetViews>
    <sheetView zoomScale="90" zoomScaleNormal="90" workbookViewId="0">
      <selection activeCell="E29" sqref="E29"/>
    </sheetView>
  </sheetViews>
  <sheetFormatPr defaultRowHeight="14.4" x14ac:dyDescent="0.3"/>
  <sheetData>
    <row r="1" spans="1:42" x14ac:dyDescent="0.3">
      <c r="A1" s="38"/>
      <c r="B1" s="38"/>
      <c r="C1" s="38"/>
      <c r="D1" s="38"/>
      <c r="E1" s="38"/>
      <c r="F1" s="38"/>
      <c r="G1" s="38"/>
      <c r="H1" s="38"/>
      <c r="I1" s="38"/>
      <c r="J1" s="38"/>
      <c r="K1" s="38"/>
      <c r="L1" s="38"/>
      <c r="M1" s="38"/>
      <c r="N1" s="38"/>
      <c r="O1" s="38"/>
      <c r="P1" s="38"/>
      <c r="Q1" s="38"/>
      <c r="R1" s="38"/>
    </row>
    <row r="2" spans="1:42" ht="21" x14ac:dyDescent="0.4">
      <c r="A2" s="241" t="s">
        <v>1043</v>
      </c>
      <c r="B2" s="235"/>
      <c r="C2" s="151"/>
      <c r="D2" s="151"/>
      <c r="E2" s="236"/>
      <c r="F2" s="236"/>
      <c r="G2" s="151"/>
      <c r="H2" s="151"/>
      <c r="I2" s="151"/>
      <c r="J2" s="151"/>
      <c r="K2" s="151"/>
      <c r="L2" s="151"/>
      <c r="M2" s="151"/>
      <c r="N2" s="151"/>
      <c r="O2" s="151"/>
      <c r="P2" s="38"/>
      <c r="Q2" s="38"/>
      <c r="R2" s="38"/>
      <c r="S2" s="38"/>
      <c r="T2" s="38"/>
      <c r="U2" s="38"/>
      <c r="V2" s="38"/>
      <c r="W2" s="38"/>
      <c r="X2" s="38"/>
      <c r="Y2" s="38"/>
      <c r="Z2" s="38"/>
      <c r="AA2" s="38"/>
      <c r="AB2" s="38"/>
      <c r="AC2" s="38"/>
      <c r="AD2" s="38"/>
      <c r="AE2" s="38"/>
      <c r="AF2" s="38"/>
      <c r="AG2" s="38"/>
      <c r="AH2" s="38"/>
      <c r="AI2" s="38"/>
      <c r="AJ2" s="38"/>
      <c r="AK2" s="38"/>
    </row>
    <row r="3" spans="1:42" ht="21" x14ac:dyDescent="0.4">
      <c r="A3" s="241"/>
      <c r="B3" s="235"/>
      <c r="C3" s="151"/>
      <c r="D3" s="38"/>
      <c r="E3" s="236"/>
      <c r="F3" s="236"/>
      <c r="G3" s="151"/>
      <c r="H3" s="151"/>
      <c r="I3" s="151"/>
      <c r="J3" s="151"/>
      <c r="K3" s="151"/>
      <c r="L3" s="151"/>
      <c r="M3" s="151"/>
      <c r="N3" s="235"/>
      <c r="O3" s="151"/>
      <c r="P3" s="151"/>
      <c r="Q3" s="236"/>
      <c r="R3" s="236"/>
      <c r="S3" s="151"/>
      <c r="T3" s="151"/>
      <c r="U3" s="246" t="s">
        <v>1089</v>
      </c>
      <c r="V3" s="151"/>
      <c r="W3" s="151"/>
      <c r="X3" s="151"/>
      <c r="Y3" s="151"/>
      <c r="Z3" s="151"/>
      <c r="AA3" s="151"/>
      <c r="AB3" s="38"/>
      <c r="AC3" s="38"/>
      <c r="AD3" s="38"/>
      <c r="AE3" s="38"/>
      <c r="AF3" s="38"/>
      <c r="AG3" s="38"/>
      <c r="AH3" s="38"/>
      <c r="AI3" s="38"/>
      <c r="AJ3" s="38"/>
      <c r="AK3" s="38"/>
    </row>
    <row r="4" spans="1:42" ht="21" x14ac:dyDescent="0.4">
      <c r="A4" s="237"/>
      <c r="B4" s="235"/>
      <c r="C4" s="151"/>
      <c r="D4" s="38"/>
      <c r="E4" s="236"/>
      <c r="F4" s="236"/>
      <c r="G4" s="151"/>
      <c r="H4" s="151"/>
      <c r="I4" s="151"/>
      <c r="J4" s="151"/>
      <c r="K4" s="151"/>
      <c r="L4" s="151"/>
      <c r="M4" s="151"/>
      <c r="N4" s="235"/>
      <c r="O4" s="151"/>
      <c r="P4" s="239"/>
      <c r="Q4" s="239"/>
      <c r="R4" s="239"/>
      <c r="S4" s="239"/>
      <c r="T4" s="239"/>
      <c r="U4" s="151"/>
      <c r="V4" s="151"/>
      <c r="W4" s="151"/>
      <c r="X4" s="151"/>
      <c r="Y4" s="151"/>
      <c r="Z4" s="151"/>
      <c r="AA4" s="151"/>
      <c r="AB4" s="38"/>
      <c r="AC4" s="38"/>
      <c r="AD4" s="38"/>
      <c r="AE4" s="38"/>
      <c r="AF4" s="38"/>
      <c r="AG4" s="38"/>
      <c r="AH4" s="38"/>
      <c r="AI4" s="38"/>
      <c r="AJ4" s="38"/>
      <c r="AK4" s="38"/>
    </row>
    <row r="5" spans="1:42" x14ac:dyDescent="0.3">
      <c r="A5" s="38"/>
      <c r="B5" s="235"/>
      <c r="C5" s="151"/>
      <c r="D5" s="151"/>
      <c r="E5" s="236"/>
      <c r="F5" s="236"/>
      <c r="G5" s="151"/>
      <c r="H5" s="151"/>
      <c r="I5" s="151"/>
      <c r="J5" s="151"/>
      <c r="K5" s="151"/>
      <c r="L5" s="151"/>
      <c r="M5" s="151"/>
      <c r="N5" s="235"/>
      <c r="O5" s="151"/>
      <c r="P5" s="151"/>
      <c r="Q5" s="236"/>
      <c r="R5" s="236"/>
      <c r="S5" s="151"/>
      <c r="T5" s="151"/>
      <c r="U5" s="151"/>
      <c r="V5" s="151"/>
      <c r="W5" s="151"/>
      <c r="X5" s="151"/>
      <c r="Y5" s="151"/>
      <c r="Z5" s="151"/>
      <c r="AA5" s="151"/>
      <c r="AB5" s="38"/>
      <c r="AC5" s="38"/>
      <c r="AD5" s="38"/>
      <c r="AE5" s="38"/>
      <c r="AF5" s="38"/>
      <c r="AG5" s="38"/>
      <c r="AH5" s="38"/>
      <c r="AI5" s="38"/>
      <c r="AJ5" s="38"/>
      <c r="AK5" s="38"/>
    </row>
    <row r="6" spans="1:42" x14ac:dyDescent="0.3">
      <c r="A6" s="38"/>
      <c r="B6" s="235"/>
      <c r="C6" s="151"/>
      <c r="D6" s="151"/>
      <c r="E6" s="236"/>
      <c r="F6" s="236"/>
      <c r="G6" s="151"/>
      <c r="H6" s="151"/>
      <c r="I6" s="151"/>
      <c r="J6" s="151"/>
      <c r="K6" s="151"/>
      <c r="L6" s="151"/>
      <c r="M6" s="151"/>
      <c r="N6" s="235"/>
      <c r="O6" s="151"/>
      <c r="P6" s="151"/>
      <c r="Q6" s="236"/>
      <c r="R6" s="236"/>
      <c r="S6" s="151"/>
      <c r="T6" s="151"/>
      <c r="U6" s="151"/>
      <c r="V6" s="151"/>
      <c r="W6" s="151"/>
      <c r="X6" s="151"/>
      <c r="Y6" s="151"/>
      <c r="Z6" s="151"/>
      <c r="AA6" s="151"/>
      <c r="AB6" s="38"/>
      <c r="AC6" s="38"/>
      <c r="AD6" s="38"/>
      <c r="AE6" s="38"/>
      <c r="AF6" s="38"/>
      <c r="AG6" s="38"/>
      <c r="AH6" s="38"/>
      <c r="AI6" s="38"/>
      <c r="AJ6" s="38"/>
      <c r="AK6" s="38"/>
    </row>
    <row r="7" spans="1:42" x14ac:dyDescent="0.3">
      <c r="A7" s="38"/>
      <c r="B7" s="235"/>
      <c r="C7" s="151"/>
      <c r="D7" s="151"/>
      <c r="E7" s="236"/>
      <c r="F7" s="236"/>
      <c r="G7" s="151"/>
      <c r="H7" s="151"/>
      <c r="I7" s="151"/>
      <c r="J7" s="151"/>
      <c r="K7" s="151"/>
      <c r="L7" s="151"/>
      <c r="M7" s="151"/>
      <c r="N7" s="235"/>
      <c r="O7" s="151"/>
      <c r="P7" s="151"/>
      <c r="Q7" s="236"/>
      <c r="R7" s="236"/>
      <c r="S7" s="151"/>
      <c r="T7" s="151"/>
      <c r="U7" s="151"/>
      <c r="V7" s="151"/>
      <c r="W7" s="151"/>
      <c r="X7" s="151"/>
      <c r="Y7" s="151"/>
      <c r="Z7" s="151"/>
      <c r="AA7" s="151"/>
      <c r="AB7" s="38"/>
      <c r="AC7" s="38"/>
      <c r="AD7" s="38"/>
      <c r="AE7" s="38"/>
      <c r="AF7" s="38"/>
      <c r="AG7" s="38"/>
      <c r="AH7" s="38"/>
      <c r="AI7" s="38"/>
      <c r="AJ7" s="38"/>
      <c r="AK7" s="38"/>
    </row>
    <row r="8" spans="1:42" x14ac:dyDescent="0.3">
      <c r="A8" s="38"/>
      <c r="B8" s="235"/>
      <c r="C8" s="151"/>
      <c r="D8" s="151"/>
      <c r="E8" s="236"/>
      <c r="F8" s="236"/>
      <c r="G8" s="151"/>
      <c r="H8" s="151"/>
      <c r="I8" s="151"/>
      <c r="J8" s="151"/>
      <c r="K8" s="151"/>
      <c r="L8" s="151"/>
      <c r="M8" s="151"/>
      <c r="N8" s="235"/>
      <c r="O8" s="151"/>
      <c r="P8" s="151"/>
      <c r="Q8" s="236"/>
      <c r="R8" s="236"/>
      <c r="S8" s="151"/>
      <c r="T8" s="151"/>
      <c r="U8" s="151"/>
      <c r="V8" s="151"/>
      <c r="W8" s="151"/>
      <c r="X8" s="151"/>
      <c r="Y8" s="151"/>
      <c r="Z8" s="151"/>
      <c r="AA8" s="151"/>
      <c r="AB8" s="38"/>
      <c r="AC8" s="38"/>
      <c r="AD8" s="38"/>
      <c r="AE8" s="38"/>
      <c r="AF8" s="38"/>
      <c r="AG8" s="38"/>
      <c r="AH8" s="38"/>
      <c r="AI8" s="38"/>
      <c r="AJ8" s="38"/>
      <c r="AK8" s="38"/>
    </row>
    <row r="9" spans="1:42" x14ac:dyDescent="0.3">
      <c r="A9" s="38"/>
      <c r="B9" s="235"/>
      <c r="C9" s="151"/>
      <c r="D9" s="151"/>
      <c r="E9" s="236"/>
      <c r="F9" s="236"/>
      <c r="G9" s="151"/>
      <c r="H9" s="151"/>
      <c r="I9" s="151"/>
      <c r="J9" s="151"/>
      <c r="K9" s="151"/>
      <c r="L9" s="151"/>
      <c r="M9" s="151"/>
      <c r="N9" s="235"/>
      <c r="O9" s="151"/>
      <c r="P9" s="151"/>
      <c r="Q9" s="236"/>
      <c r="R9" s="236"/>
      <c r="S9" s="151"/>
      <c r="T9" s="151"/>
      <c r="U9" s="151"/>
      <c r="V9" s="151"/>
      <c r="W9" s="151"/>
      <c r="X9" s="151"/>
      <c r="Y9" s="151"/>
      <c r="Z9" s="151"/>
      <c r="AA9" s="151"/>
      <c r="AB9" s="38"/>
      <c r="AC9" s="38"/>
      <c r="AD9" s="38"/>
      <c r="AE9" s="38"/>
      <c r="AF9" s="38"/>
      <c r="AG9" s="38"/>
      <c r="AH9" s="38"/>
      <c r="AI9" s="38"/>
      <c r="AJ9" s="38"/>
      <c r="AK9" s="38"/>
    </row>
    <row r="10" spans="1:42" x14ac:dyDescent="0.3">
      <c r="A10" s="38"/>
      <c r="B10" s="235"/>
      <c r="C10" s="151"/>
      <c r="D10" s="151"/>
      <c r="E10" s="236"/>
      <c r="F10" s="236"/>
      <c r="G10" s="151"/>
      <c r="H10" s="151"/>
      <c r="I10" s="151"/>
      <c r="J10" s="151"/>
      <c r="K10" s="151"/>
      <c r="L10" s="151"/>
      <c r="M10" s="151"/>
      <c r="N10" s="235"/>
      <c r="O10" s="151"/>
      <c r="P10" s="151"/>
      <c r="Q10" s="236"/>
      <c r="R10" s="236"/>
      <c r="S10" s="151"/>
      <c r="T10" s="151"/>
      <c r="U10" s="151"/>
      <c r="V10" s="151"/>
      <c r="W10" s="151"/>
      <c r="X10" s="151"/>
      <c r="Y10" s="151"/>
      <c r="Z10" s="151"/>
      <c r="AA10" s="151"/>
      <c r="AB10" s="38"/>
      <c r="AC10" s="38"/>
      <c r="AD10" s="38"/>
      <c r="AE10" s="38"/>
      <c r="AF10" s="38"/>
      <c r="AG10" s="38"/>
      <c r="AH10" s="38"/>
      <c r="AI10" s="38"/>
      <c r="AJ10" s="38"/>
      <c r="AK10" s="38"/>
    </row>
    <row r="11" spans="1:42" x14ac:dyDescent="0.3">
      <c r="A11" s="38"/>
      <c r="B11" s="235"/>
      <c r="C11" s="151"/>
      <c r="D11" s="151"/>
      <c r="E11" s="236"/>
      <c r="F11" s="236"/>
      <c r="G11" s="151"/>
      <c r="H11" s="151"/>
      <c r="I11" s="151"/>
      <c r="J11" s="151"/>
      <c r="K11" s="151"/>
      <c r="L11" s="151"/>
      <c r="M11" s="151"/>
      <c r="N11" s="235"/>
      <c r="O11" s="151"/>
      <c r="P11" s="151"/>
      <c r="Q11" s="236"/>
      <c r="R11" s="236"/>
      <c r="S11" s="151"/>
      <c r="T11" s="151"/>
      <c r="U11" s="151"/>
      <c r="V11" s="151"/>
      <c r="W11" s="151"/>
      <c r="X11" s="151"/>
      <c r="Y11" s="151"/>
      <c r="Z11" s="151"/>
      <c r="AA11" s="151"/>
      <c r="AB11" s="38"/>
      <c r="AC11" s="38"/>
      <c r="AD11" s="38"/>
      <c r="AE11" s="38"/>
      <c r="AF11" s="38"/>
      <c r="AG11" s="38"/>
      <c r="AH11" s="38"/>
      <c r="AI11" s="38"/>
      <c r="AJ11" s="38"/>
      <c r="AK11" s="38"/>
    </row>
    <row r="12" spans="1:42" x14ac:dyDescent="0.3">
      <c r="A12" s="38"/>
      <c r="B12" s="235"/>
      <c r="C12" s="151"/>
      <c r="D12" s="151"/>
      <c r="E12" s="236"/>
      <c r="F12" s="236"/>
      <c r="G12" s="151"/>
      <c r="H12" s="151"/>
      <c r="I12" s="151"/>
      <c r="J12" s="151"/>
      <c r="K12" s="151"/>
      <c r="L12" s="151"/>
      <c r="M12" s="151"/>
      <c r="N12" s="235"/>
      <c r="O12" s="151"/>
      <c r="P12" s="151"/>
      <c r="Q12" s="236"/>
      <c r="R12" s="236"/>
      <c r="S12" s="151"/>
      <c r="T12" s="151"/>
      <c r="U12" s="151"/>
      <c r="V12" s="151"/>
      <c r="W12" s="151"/>
      <c r="X12" s="151"/>
      <c r="Y12" s="151"/>
      <c r="Z12" s="151"/>
      <c r="AA12" s="151"/>
      <c r="AB12" s="38"/>
      <c r="AC12" s="38"/>
      <c r="AD12" s="38"/>
      <c r="AE12" s="38"/>
      <c r="AF12" s="38"/>
      <c r="AG12" s="38"/>
      <c r="AH12" s="38"/>
      <c r="AI12" s="38"/>
      <c r="AJ12" s="38"/>
      <c r="AK12" s="38"/>
      <c r="AP12" s="238" t="s">
        <v>1036</v>
      </c>
    </row>
    <row r="13" spans="1:42" x14ac:dyDescent="0.3">
      <c r="A13" s="38"/>
      <c r="L13" s="151"/>
      <c r="M13" s="151"/>
      <c r="N13" s="235"/>
      <c r="O13" s="151"/>
      <c r="P13" s="151"/>
      <c r="Q13" s="236"/>
      <c r="R13" s="236"/>
      <c r="S13" s="151"/>
      <c r="T13" s="151"/>
      <c r="U13" s="151"/>
      <c r="V13" s="151"/>
      <c r="W13" s="151"/>
      <c r="X13" s="151"/>
      <c r="Y13" s="151"/>
      <c r="Z13" s="151"/>
      <c r="AA13" s="151"/>
      <c r="AB13" s="38"/>
      <c r="AC13" s="38"/>
      <c r="AD13" s="38"/>
      <c r="AE13" s="38"/>
      <c r="AF13" s="38"/>
      <c r="AG13" s="38"/>
      <c r="AH13" s="38"/>
      <c r="AI13" s="38"/>
      <c r="AJ13" s="38"/>
      <c r="AK13" s="38"/>
      <c r="AP13" s="238" t="s">
        <v>1042</v>
      </c>
    </row>
    <row r="14" spans="1:42" x14ac:dyDescent="0.3">
      <c r="A14" s="38"/>
      <c r="M14" s="238"/>
      <c r="N14" s="235"/>
      <c r="O14" s="151"/>
      <c r="P14" s="151"/>
      <c r="Q14" s="236"/>
      <c r="R14" s="236"/>
      <c r="S14" s="151"/>
      <c r="T14" s="151"/>
      <c r="U14" s="151"/>
      <c r="V14" s="151"/>
      <c r="W14" s="151"/>
      <c r="X14" s="151"/>
      <c r="Y14" s="151"/>
      <c r="Z14" s="151"/>
      <c r="AA14" s="151"/>
      <c r="AB14" s="38"/>
      <c r="AC14" s="38"/>
      <c r="AD14" s="38"/>
      <c r="AE14" s="38"/>
      <c r="AF14" s="38"/>
      <c r="AG14" s="38"/>
      <c r="AH14" s="38"/>
      <c r="AI14" s="38"/>
      <c r="AJ14" s="38"/>
      <c r="AK14" s="38"/>
      <c r="AP14" s="151" t="s">
        <v>242</v>
      </c>
    </row>
    <row r="15" spans="1:42" x14ac:dyDescent="0.3">
      <c r="A15" s="38"/>
      <c r="M15" s="151"/>
      <c r="N15" s="235"/>
      <c r="O15" s="151"/>
      <c r="P15" s="151"/>
      <c r="Q15" s="236"/>
      <c r="R15" s="236"/>
      <c r="S15" s="151"/>
      <c r="T15" s="151"/>
      <c r="U15" s="151"/>
      <c r="V15" s="151"/>
      <c r="W15" s="151"/>
      <c r="X15" s="151"/>
      <c r="Y15" s="151"/>
      <c r="Z15" s="151"/>
      <c r="AA15" s="151"/>
      <c r="AB15" s="38"/>
      <c r="AC15" s="38"/>
      <c r="AD15" s="38"/>
      <c r="AE15" s="38"/>
      <c r="AF15" s="38"/>
      <c r="AG15" s="38"/>
      <c r="AH15" s="38"/>
      <c r="AI15" s="38"/>
      <c r="AJ15" s="38"/>
      <c r="AK15" s="38"/>
      <c r="AP15" s="151" t="s">
        <v>246</v>
      </c>
    </row>
    <row r="16" spans="1:42" x14ac:dyDescent="0.3">
      <c r="A16" s="38"/>
      <c r="M16" s="151"/>
      <c r="N16" s="235"/>
      <c r="O16" s="151"/>
      <c r="P16" s="151"/>
      <c r="Q16" s="236"/>
      <c r="R16" s="236"/>
      <c r="S16" s="151"/>
      <c r="T16" s="151"/>
      <c r="U16" s="151"/>
      <c r="V16" s="151"/>
      <c r="W16" s="151"/>
      <c r="X16" s="151"/>
      <c r="Y16" s="151"/>
      <c r="Z16" s="151"/>
      <c r="AA16" s="151"/>
      <c r="AB16" s="38"/>
      <c r="AC16" s="38"/>
      <c r="AD16" s="38"/>
      <c r="AE16" s="38"/>
      <c r="AF16" s="38"/>
      <c r="AG16" s="38"/>
      <c r="AH16" s="38"/>
      <c r="AI16" s="38"/>
      <c r="AJ16" s="38"/>
      <c r="AK16" s="38"/>
      <c r="AP16" s="151" t="s">
        <v>247</v>
      </c>
    </row>
    <row r="17" spans="1:46" x14ac:dyDescent="0.3">
      <c r="A17" s="38"/>
      <c r="M17" s="151"/>
      <c r="N17" s="235"/>
      <c r="O17" s="151"/>
      <c r="P17" s="151"/>
      <c r="Q17" s="236"/>
      <c r="R17" s="236"/>
      <c r="S17" s="151"/>
      <c r="T17" s="151"/>
      <c r="U17" s="151"/>
      <c r="V17" s="151"/>
      <c r="W17" s="151"/>
      <c r="X17" s="151"/>
      <c r="Y17" s="151"/>
      <c r="Z17" s="151"/>
      <c r="AA17" s="151"/>
      <c r="AB17" s="38"/>
      <c r="AC17" s="38"/>
      <c r="AD17" s="38"/>
      <c r="AE17" s="38"/>
      <c r="AF17" s="38"/>
      <c r="AG17" s="38"/>
      <c r="AH17" s="38"/>
      <c r="AI17" s="38"/>
      <c r="AJ17" s="38"/>
      <c r="AM17" s="151"/>
      <c r="AN17" s="236"/>
      <c r="AO17" s="236"/>
      <c r="AS17" s="151"/>
      <c r="AT17" s="151"/>
    </row>
    <row r="18" spans="1:46" x14ac:dyDescent="0.3">
      <c r="A18" s="38"/>
      <c r="L18" s="151"/>
      <c r="M18" s="151"/>
      <c r="N18" s="235"/>
      <c r="O18" s="151"/>
      <c r="P18" s="151"/>
      <c r="Q18" s="236"/>
      <c r="R18" s="236"/>
      <c r="S18" s="151"/>
      <c r="T18" s="151"/>
      <c r="U18" s="151"/>
      <c r="V18" s="151"/>
      <c r="W18" s="151"/>
      <c r="X18" s="151"/>
      <c r="Y18" s="151"/>
      <c r="Z18" s="151"/>
      <c r="AA18" s="151"/>
      <c r="AB18" s="38"/>
      <c r="AC18" s="38"/>
      <c r="AD18" s="38"/>
      <c r="AE18" s="38"/>
      <c r="AF18" s="38"/>
      <c r="AG18" s="38"/>
      <c r="AH18" s="38"/>
      <c r="AI18" s="38"/>
      <c r="AJ18" s="38"/>
      <c r="AM18" s="151"/>
      <c r="AN18" s="236"/>
      <c r="AO18" s="236"/>
      <c r="AS18" s="151"/>
      <c r="AT18" s="151"/>
    </row>
    <row r="19" spans="1:46" x14ac:dyDescent="0.3">
      <c r="A19" s="38"/>
      <c r="B19" s="38"/>
      <c r="C19" s="38"/>
      <c r="D19" s="38"/>
      <c r="E19" s="38"/>
      <c r="F19" s="38"/>
      <c r="G19" s="38"/>
      <c r="H19" s="38"/>
      <c r="I19" s="38"/>
      <c r="J19" s="38"/>
      <c r="K19" s="38"/>
      <c r="L19" s="38"/>
      <c r="M19" s="38"/>
      <c r="N19" s="235"/>
      <c r="O19" s="151"/>
      <c r="P19" s="151"/>
      <c r="Q19" s="236"/>
      <c r="R19" s="236"/>
      <c r="S19" s="151"/>
      <c r="T19" s="151"/>
      <c r="U19" s="151"/>
      <c r="V19" s="151"/>
      <c r="W19" s="151"/>
      <c r="X19" s="151"/>
      <c r="Y19" s="151"/>
      <c r="Z19" s="151"/>
      <c r="AA19" s="151"/>
      <c r="AB19" s="38"/>
      <c r="AC19" s="38"/>
      <c r="AD19" s="38"/>
      <c r="AE19" s="38"/>
      <c r="AF19" s="38"/>
      <c r="AG19" s="38"/>
      <c r="AH19" s="38"/>
      <c r="AI19" s="38"/>
      <c r="AJ19" s="38"/>
      <c r="AM19" s="151"/>
      <c r="AN19" s="236"/>
      <c r="AO19" s="236"/>
      <c r="AS19" s="151"/>
      <c r="AT19" s="151"/>
    </row>
    <row r="20" spans="1:46" x14ac:dyDescent="0.3">
      <c r="A20" s="38"/>
      <c r="B20" s="38"/>
      <c r="C20" s="38"/>
      <c r="D20" s="38"/>
      <c r="E20" s="38"/>
      <c r="F20" s="38"/>
      <c r="G20" s="38"/>
      <c r="H20" s="38"/>
      <c r="I20" s="38"/>
      <c r="J20" s="38"/>
      <c r="P20" s="151"/>
      <c r="U20" s="151"/>
      <c r="V20" s="151"/>
      <c r="W20" s="151"/>
      <c r="X20" s="151"/>
      <c r="Y20" s="151"/>
      <c r="Z20" s="151"/>
      <c r="AE20" s="38"/>
      <c r="AF20" s="240" t="s">
        <v>1040</v>
      </c>
      <c r="AG20" s="38"/>
      <c r="AH20" s="38"/>
      <c r="AI20" s="38"/>
      <c r="AJ20" s="38"/>
      <c r="AM20" s="151"/>
      <c r="AN20" s="236"/>
      <c r="AO20" s="236"/>
      <c r="AS20" s="151"/>
      <c r="AT20" s="151"/>
    </row>
    <row r="21" spans="1:46" x14ac:dyDescent="0.3">
      <c r="A21" s="38"/>
      <c r="B21" s="38"/>
      <c r="C21" s="38"/>
      <c r="D21" s="38"/>
      <c r="E21" s="38"/>
      <c r="F21" s="38"/>
      <c r="G21" s="38"/>
      <c r="H21" s="38"/>
      <c r="I21" s="38"/>
      <c r="J21" s="38"/>
      <c r="P21" s="151"/>
      <c r="U21" s="151"/>
      <c r="Y21" s="151"/>
      <c r="Z21" s="151"/>
      <c r="AB21" s="238" t="s">
        <v>1039</v>
      </c>
      <c r="AC21" s="151"/>
      <c r="AD21" s="151"/>
      <c r="AE21" s="38"/>
      <c r="AF21" s="238" t="s">
        <v>253</v>
      </c>
      <c r="AG21" s="38"/>
      <c r="AH21" s="38"/>
      <c r="AI21" s="38"/>
      <c r="AJ21" s="38"/>
      <c r="AM21" s="151"/>
      <c r="AN21" s="236"/>
      <c r="AO21" s="236"/>
      <c r="AS21" s="151"/>
      <c r="AT21" s="151"/>
    </row>
    <row r="22" spans="1:46" x14ac:dyDescent="0.3">
      <c r="A22" s="38"/>
      <c r="B22" s="38"/>
      <c r="C22" s="38"/>
      <c r="D22" s="38"/>
      <c r="E22" s="38"/>
      <c r="F22" s="38"/>
      <c r="G22" s="38"/>
      <c r="H22" s="38"/>
      <c r="I22" s="38"/>
      <c r="J22" s="38"/>
      <c r="P22" s="151"/>
      <c r="U22" s="151"/>
      <c r="Y22" s="151"/>
      <c r="Z22" s="151"/>
      <c r="AE22" s="38"/>
      <c r="AF22" s="151" t="s">
        <v>255</v>
      </c>
      <c r="AG22" s="38"/>
      <c r="AH22" s="38"/>
      <c r="AI22" s="38"/>
      <c r="AJ22" s="38"/>
      <c r="AM22" s="151"/>
      <c r="AN22" s="236"/>
      <c r="AO22" s="236"/>
      <c r="AP22" s="151"/>
      <c r="AR22" s="151"/>
      <c r="AS22" s="151"/>
      <c r="AT22" s="151"/>
    </row>
    <row r="23" spans="1:46" x14ac:dyDescent="0.3">
      <c r="A23" s="38"/>
      <c r="B23" s="38"/>
      <c r="C23" s="38"/>
      <c r="D23" s="38"/>
      <c r="E23" s="38"/>
      <c r="F23" s="38"/>
      <c r="G23" s="38"/>
      <c r="H23" s="38"/>
      <c r="I23" s="38"/>
      <c r="J23" s="38"/>
      <c r="P23" s="151"/>
      <c r="U23" s="151"/>
      <c r="Y23" s="151"/>
      <c r="Z23" s="151"/>
      <c r="AE23" s="38"/>
      <c r="AF23" s="236" t="s">
        <v>252</v>
      </c>
      <c r="AG23" s="38"/>
      <c r="AH23" s="38"/>
      <c r="AI23" s="38"/>
      <c r="AK23" s="38"/>
    </row>
    <row r="24" spans="1:46" x14ac:dyDescent="0.3">
      <c r="P24" s="151"/>
      <c r="T24" s="151"/>
      <c r="U24" s="151"/>
      <c r="Y24" s="151"/>
      <c r="Z24" s="151"/>
      <c r="AE24" s="38"/>
      <c r="AF24" s="38"/>
      <c r="AG24" s="38"/>
      <c r="AH24" s="38"/>
      <c r="AI24" s="38"/>
      <c r="AK24" s="38"/>
    </row>
    <row r="25" spans="1:46" x14ac:dyDescent="0.3">
      <c r="R25" s="240" t="s">
        <v>1037</v>
      </c>
      <c r="S25" s="151"/>
      <c r="T25" s="235"/>
      <c r="U25" s="151"/>
      <c r="W25" s="240" t="s">
        <v>1038</v>
      </c>
      <c r="X25" s="151"/>
      <c r="Z25" s="151"/>
      <c r="AF25" s="38"/>
      <c r="AG25" s="38"/>
      <c r="AH25" s="38"/>
      <c r="AK25" s="38"/>
    </row>
    <row r="26" spans="1:46" x14ac:dyDescent="0.3">
      <c r="R26" s="238" t="s">
        <v>248</v>
      </c>
      <c r="S26" s="38"/>
      <c r="T26" s="235"/>
      <c r="U26" s="151"/>
      <c r="W26" s="238" t="s">
        <v>250</v>
      </c>
      <c r="X26" s="151"/>
      <c r="Z26" s="151"/>
      <c r="AB26" s="38"/>
      <c r="AF26" s="236" t="s">
        <v>1059</v>
      </c>
      <c r="AG26" s="38"/>
      <c r="AH26" s="38"/>
      <c r="AJ26" s="38"/>
      <c r="AK26" s="38"/>
    </row>
    <row r="27" spans="1:46" ht="15.6" x14ac:dyDescent="0.3">
      <c r="B27" s="54" t="s">
        <v>1068</v>
      </c>
      <c r="F27" s="54" t="s">
        <v>1069</v>
      </c>
      <c r="R27" s="151" t="s">
        <v>1066</v>
      </c>
      <c r="S27" s="38"/>
      <c r="T27" s="235"/>
      <c r="U27" s="151"/>
      <c r="W27" s="151" t="s">
        <v>249</v>
      </c>
      <c r="X27" s="151"/>
      <c r="Z27" s="151"/>
      <c r="AF27" s="38"/>
      <c r="AG27" s="38" t="s">
        <v>1062</v>
      </c>
      <c r="AH27" s="38"/>
      <c r="AJ27" s="38"/>
      <c r="AK27" s="51" t="s">
        <v>1065</v>
      </c>
    </row>
    <row r="28" spans="1:46" ht="15.6" x14ac:dyDescent="0.3">
      <c r="B28" t="s">
        <v>1067</v>
      </c>
      <c r="F28" t="s">
        <v>1070</v>
      </c>
      <c r="J28" s="1" t="s">
        <v>1071</v>
      </c>
      <c r="R28" s="236" t="s">
        <v>254</v>
      </c>
      <c r="S28" s="151"/>
      <c r="T28" s="235"/>
      <c r="U28" s="151"/>
      <c r="W28" s="236" t="s">
        <v>254</v>
      </c>
      <c r="X28" s="151"/>
      <c r="Z28" s="151"/>
      <c r="AB28" s="238" t="s">
        <v>251</v>
      </c>
      <c r="AG28" t="s">
        <v>1061</v>
      </c>
      <c r="AH28" s="38"/>
      <c r="AJ28" s="38"/>
      <c r="AK28" s="51" t="s">
        <v>319</v>
      </c>
    </row>
    <row r="29" spans="1:46" x14ac:dyDescent="0.3">
      <c r="J29" t="s">
        <v>1072</v>
      </c>
      <c r="N29" s="235"/>
      <c r="R29" s="236" t="s">
        <v>244</v>
      </c>
      <c r="S29" s="151"/>
      <c r="T29" s="235"/>
      <c r="U29" s="151"/>
      <c r="W29" s="236" t="s">
        <v>244</v>
      </c>
      <c r="X29" s="151"/>
      <c r="Z29" s="151"/>
      <c r="AB29" s="151" t="s">
        <v>256</v>
      </c>
      <c r="AF29" s="151"/>
      <c r="AG29" s="38"/>
      <c r="AH29" s="38"/>
      <c r="AJ29" s="38"/>
      <c r="AK29" s="51" t="s">
        <v>317</v>
      </c>
      <c r="AP29" s="1" t="s">
        <v>1035</v>
      </c>
    </row>
    <row r="30" spans="1:46" x14ac:dyDescent="0.3">
      <c r="J30" t="s">
        <v>1073</v>
      </c>
      <c r="N30" s="235"/>
      <c r="R30" s="236" t="s">
        <v>245</v>
      </c>
      <c r="S30" s="151"/>
      <c r="T30" s="235"/>
      <c r="W30" s="236" t="s">
        <v>245</v>
      </c>
      <c r="X30" s="151"/>
      <c r="Z30" s="151"/>
      <c r="AB30" s="236" t="s">
        <v>1059</v>
      </c>
      <c r="AF30" s="151"/>
      <c r="AG30" s="38"/>
      <c r="AH30" s="38"/>
      <c r="AJ30" s="38"/>
      <c r="AK30" s="51" t="s">
        <v>318</v>
      </c>
      <c r="AP30" s="238" t="s">
        <v>1041</v>
      </c>
    </row>
    <row r="31" spans="1:46" x14ac:dyDescent="0.3">
      <c r="J31" t="s">
        <v>1074</v>
      </c>
      <c r="N31" s="38"/>
      <c r="R31" s="236" t="s">
        <v>1059</v>
      </c>
      <c r="S31" s="38"/>
      <c r="T31" s="235"/>
      <c r="V31" s="38"/>
      <c r="W31" s="236" t="s">
        <v>1059</v>
      </c>
      <c r="X31" s="38"/>
      <c r="Z31" s="151"/>
      <c r="AA31" s="38"/>
      <c r="AB31" s="38"/>
      <c r="AC31" s="38" t="s">
        <v>1062</v>
      </c>
      <c r="AD31" s="238"/>
      <c r="AH31" s="38"/>
      <c r="AI31" s="38"/>
      <c r="AJ31" s="38"/>
      <c r="AK31" s="51" t="s">
        <v>1063</v>
      </c>
      <c r="AP31" s="151" t="s">
        <v>242</v>
      </c>
    </row>
    <row r="32" spans="1:46" x14ac:dyDescent="0.3">
      <c r="N32" s="38"/>
      <c r="R32" s="38"/>
      <c r="S32" s="38" t="s">
        <v>1060</v>
      </c>
      <c r="T32" s="235"/>
      <c r="V32" s="38"/>
      <c r="W32" s="38"/>
      <c r="X32" s="38" t="s">
        <v>1060</v>
      </c>
      <c r="Z32" s="151"/>
      <c r="AA32" s="38"/>
      <c r="AB32" s="38"/>
      <c r="AC32" t="s">
        <v>1061</v>
      </c>
      <c r="AD32" s="151"/>
      <c r="AH32" s="38"/>
      <c r="AK32" s="51" t="s">
        <v>317</v>
      </c>
      <c r="AP32" s="151" t="s">
        <v>243</v>
      </c>
    </row>
    <row r="33" spans="1:42" x14ac:dyDescent="0.3">
      <c r="S33" t="s">
        <v>1061</v>
      </c>
      <c r="T33" s="235"/>
      <c r="X33" t="s">
        <v>1061</v>
      </c>
      <c r="Z33" s="142"/>
      <c r="AD33" s="151"/>
      <c r="AP33" s="151" t="s">
        <v>244</v>
      </c>
    </row>
    <row r="34" spans="1:42" ht="21" x14ac:dyDescent="0.4">
      <c r="A34" s="241" t="s">
        <v>1044</v>
      </c>
      <c r="Z34" s="142"/>
      <c r="AP34" s="151" t="s">
        <v>245</v>
      </c>
    </row>
    <row r="35" spans="1:42" x14ac:dyDescent="0.3">
      <c r="B35" s="3"/>
      <c r="C35" s="3"/>
      <c r="D35" s="7"/>
      <c r="E35" s="7"/>
      <c r="F35" s="3"/>
      <c r="G35" s="3"/>
      <c r="H35" s="3"/>
      <c r="I35" s="3"/>
      <c r="J35" s="3"/>
      <c r="K35" s="3"/>
      <c r="L35" s="3"/>
      <c r="M35" s="3"/>
      <c r="N35" s="3"/>
    </row>
    <row r="36" spans="1:42" x14ac:dyDescent="0.3">
      <c r="A36" s="169"/>
      <c r="B36" s="3"/>
      <c r="C36" s="3"/>
      <c r="D36" s="7"/>
      <c r="E36" s="7"/>
      <c r="F36" s="3"/>
      <c r="G36" s="3"/>
      <c r="H36" s="3"/>
      <c r="I36" s="3"/>
      <c r="J36" s="3"/>
      <c r="K36" s="3"/>
      <c r="L36" s="3"/>
      <c r="M36" s="3"/>
      <c r="N36" s="3"/>
    </row>
    <row r="37" spans="1:42" x14ac:dyDescent="0.3">
      <c r="A37" s="169"/>
      <c r="B37" s="3"/>
      <c r="C37" s="3"/>
      <c r="D37" s="7"/>
      <c r="E37" s="7"/>
      <c r="F37" s="3"/>
      <c r="G37" s="3"/>
      <c r="H37" s="3"/>
      <c r="I37" s="3"/>
      <c r="J37" s="3"/>
      <c r="K37" s="3"/>
      <c r="L37" s="3"/>
      <c r="M37" s="3"/>
      <c r="N37" s="3"/>
    </row>
    <row r="38" spans="1:42" x14ac:dyDescent="0.3">
      <c r="A38" s="169"/>
      <c r="B38" s="3"/>
      <c r="C38" s="3"/>
      <c r="D38" s="7"/>
      <c r="E38" s="7"/>
      <c r="F38" s="3"/>
      <c r="G38" s="3"/>
      <c r="H38" s="3"/>
      <c r="I38" s="3"/>
      <c r="J38" s="3"/>
      <c r="K38" s="3"/>
      <c r="L38" s="3"/>
      <c r="M38" s="3"/>
      <c r="N38" s="3"/>
    </row>
    <row r="39" spans="1:42" x14ac:dyDescent="0.3">
      <c r="A39" s="169"/>
      <c r="B39" s="3"/>
      <c r="C39" s="3"/>
      <c r="D39" s="7"/>
      <c r="E39" s="7"/>
      <c r="F39" s="3"/>
      <c r="G39" s="3"/>
      <c r="H39" s="3"/>
      <c r="I39" s="3"/>
      <c r="J39" s="3"/>
      <c r="K39" s="3"/>
      <c r="L39" s="3"/>
      <c r="M39" s="3"/>
      <c r="N39" s="3"/>
    </row>
    <row r="40" spans="1:42" x14ac:dyDescent="0.3">
      <c r="A40" s="169"/>
      <c r="B40" s="3"/>
      <c r="C40" s="3"/>
      <c r="D40" s="7"/>
      <c r="E40" s="7"/>
      <c r="F40" s="3"/>
      <c r="G40" s="3"/>
      <c r="H40" s="3"/>
      <c r="I40" s="3"/>
      <c r="J40" s="3"/>
      <c r="K40" s="3"/>
      <c r="L40" s="3"/>
      <c r="M40" s="3"/>
      <c r="N40" s="3"/>
    </row>
    <row r="41" spans="1:42" x14ac:dyDescent="0.3">
      <c r="A41" s="169"/>
      <c r="B41" s="3"/>
      <c r="C41" s="3"/>
      <c r="D41" s="7"/>
      <c r="E41" s="7"/>
      <c r="F41" s="3"/>
      <c r="G41" s="3"/>
      <c r="H41" s="3"/>
      <c r="I41" s="3"/>
      <c r="J41" s="3"/>
      <c r="K41" s="3"/>
      <c r="L41" s="3"/>
      <c r="M41" s="3"/>
      <c r="N41" s="3"/>
    </row>
    <row r="42" spans="1:42" x14ac:dyDescent="0.3">
      <c r="A42" s="169"/>
      <c r="B42" s="3"/>
      <c r="C42" s="3"/>
      <c r="D42" s="7"/>
      <c r="E42" s="7"/>
      <c r="F42" s="3"/>
      <c r="G42" s="3"/>
      <c r="H42" s="3"/>
      <c r="I42" s="3"/>
      <c r="J42" s="3"/>
      <c r="K42" s="3"/>
      <c r="L42" s="3"/>
      <c r="M42" s="3"/>
      <c r="N42" s="3"/>
    </row>
    <row r="43" spans="1:42" x14ac:dyDescent="0.3">
      <c r="A43" s="169"/>
      <c r="B43" s="3"/>
      <c r="C43" s="3"/>
      <c r="D43" s="7"/>
      <c r="E43" s="7"/>
      <c r="F43" s="3"/>
      <c r="G43" s="3"/>
      <c r="H43" s="3"/>
      <c r="I43" s="3"/>
      <c r="J43" s="3"/>
      <c r="K43" s="3"/>
      <c r="L43" s="3"/>
      <c r="M43" s="3"/>
      <c r="N43" s="3"/>
    </row>
    <row r="44" spans="1:42" x14ac:dyDescent="0.3">
      <c r="A44" s="169"/>
      <c r="B44" s="3"/>
      <c r="C44" s="3"/>
      <c r="D44" s="7"/>
      <c r="E44" s="7"/>
      <c r="F44" s="3"/>
      <c r="G44" s="3"/>
      <c r="H44" s="3"/>
      <c r="I44" s="3"/>
      <c r="J44" s="3"/>
      <c r="K44" s="3"/>
      <c r="L44" s="3"/>
      <c r="M44" s="3"/>
      <c r="N44" s="3"/>
    </row>
    <row r="45" spans="1:42" x14ac:dyDescent="0.3">
      <c r="A45" s="169"/>
      <c r="B45" s="3"/>
      <c r="C45" s="3"/>
      <c r="D45" s="7"/>
      <c r="E45" s="7"/>
      <c r="F45" s="3"/>
      <c r="G45" s="3"/>
      <c r="H45" s="3"/>
      <c r="I45" s="3"/>
      <c r="J45" s="3"/>
      <c r="K45" s="3"/>
      <c r="L45" s="3"/>
      <c r="M45" s="3"/>
      <c r="N45" s="3"/>
    </row>
    <row r="46" spans="1:42" x14ac:dyDescent="0.3">
      <c r="A46" s="169"/>
      <c r="B46" s="3"/>
      <c r="C46" s="3"/>
      <c r="D46" s="7"/>
      <c r="E46" s="7"/>
      <c r="F46" s="3"/>
      <c r="G46" s="3"/>
      <c r="H46" s="3"/>
      <c r="I46" s="3"/>
      <c r="J46" s="3"/>
      <c r="K46" s="3"/>
      <c r="L46" s="3"/>
      <c r="M46" s="3"/>
      <c r="N46" s="3"/>
    </row>
    <row r="47" spans="1:42" x14ac:dyDescent="0.3">
      <c r="A47" s="169"/>
      <c r="B47" s="3"/>
      <c r="C47" s="3"/>
      <c r="D47" s="7"/>
      <c r="E47" s="7"/>
      <c r="F47" s="3"/>
      <c r="G47" s="3"/>
      <c r="H47" s="3"/>
      <c r="I47" s="3"/>
      <c r="J47" s="3"/>
      <c r="K47" s="3"/>
      <c r="L47" s="3"/>
      <c r="M47" s="3"/>
      <c r="N47" s="3"/>
    </row>
    <row r="48" spans="1:42" x14ac:dyDescent="0.3">
      <c r="A48" s="169"/>
      <c r="B48" s="3"/>
      <c r="C48" s="3"/>
      <c r="D48" s="7"/>
      <c r="E48" s="7"/>
      <c r="F48" s="3"/>
      <c r="G48" s="3"/>
      <c r="H48" s="3"/>
      <c r="I48" s="3"/>
      <c r="J48" s="3"/>
      <c r="K48" s="3"/>
      <c r="L48" s="3"/>
      <c r="M48" s="3"/>
      <c r="N48" s="3"/>
    </row>
    <row r="49" spans="1:18" x14ac:dyDescent="0.3">
      <c r="A49" s="169"/>
      <c r="B49" s="3"/>
      <c r="C49" s="3"/>
      <c r="D49" s="7"/>
      <c r="E49" s="7"/>
      <c r="F49" s="3"/>
      <c r="G49" s="3"/>
      <c r="H49" s="3"/>
      <c r="I49" s="3"/>
      <c r="J49" s="3"/>
      <c r="K49" s="3"/>
      <c r="L49" s="3"/>
      <c r="M49" s="3"/>
      <c r="N49" s="3"/>
    </row>
    <row r="50" spans="1:18" x14ac:dyDescent="0.3">
      <c r="A50" s="169"/>
      <c r="B50" s="3"/>
      <c r="C50" s="3"/>
      <c r="D50" s="7"/>
      <c r="E50" s="7"/>
      <c r="F50" s="3"/>
      <c r="G50" s="3"/>
      <c r="H50" s="3"/>
      <c r="I50" s="3"/>
      <c r="J50" s="3"/>
      <c r="K50" s="3"/>
      <c r="L50" s="3"/>
      <c r="M50" s="3"/>
      <c r="N50" s="3"/>
    </row>
    <row r="51" spans="1:18" x14ac:dyDescent="0.3">
      <c r="A51" s="169"/>
      <c r="B51" s="3"/>
      <c r="C51" s="3"/>
      <c r="D51" s="7"/>
      <c r="E51" s="7"/>
      <c r="F51" s="3"/>
      <c r="G51" s="3"/>
      <c r="H51" s="3"/>
      <c r="I51" s="3"/>
      <c r="J51" s="3"/>
      <c r="K51" s="3"/>
      <c r="L51" s="3"/>
      <c r="M51" s="3"/>
      <c r="N51" s="3"/>
    </row>
    <row r="52" spans="1:18" x14ac:dyDescent="0.3">
      <c r="A52" s="169"/>
      <c r="B52" s="3"/>
      <c r="C52" s="3"/>
      <c r="D52" s="7"/>
      <c r="E52" s="7"/>
      <c r="F52" s="3"/>
      <c r="G52" s="3"/>
      <c r="H52" s="3"/>
      <c r="I52" s="3"/>
      <c r="J52" s="3"/>
      <c r="L52" s="3"/>
      <c r="N52" s="3"/>
    </row>
    <row r="53" spans="1:18" x14ac:dyDescent="0.3">
      <c r="A53" s="169"/>
      <c r="B53" s="3"/>
      <c r="C53" s="3"/>
      <c r="D53" s="7"/>
      <c r="E53" s="7"/>
      <c r="F53" s="3"/>
      <c r="G53" s="3"/>
      <c r="H53" s="3"/>
      <c r="I53" s="3"/>
      <c r="J53" s="3"/>
      <c r="L53" s="3"/>
      <c r="N53" s="3"/>
    </row>
    <row r="54" spans="1:18" x14ac:dyDescent="0.3">
      <c r="A54" s="169"/>
      <c r="B54" s="3"/>
      <c r="C54" s="3"/>
      <c r="D54" s="7"/>
      <c r="E54" s="7"/>
      <c r="F54" s="3"/>
      <c r="G54" s="3"/>
      <c r="H54" s="3"/>
      <c r="I54" s="3"/>
      <c r="J54" s="3"/>
      <c r="L54" s="3"/>
      <c r="N54" s="3"/>
    </row>
    <row r="55" spans="1:18" x14ac:dyDescent="0.3">
      <c r="A55" s="169"/>
      <c r="B55" s="3"/>
      <c r="C55" s="3"/>
      <c r="D55" s="7"/>
      <c r="E55" s="7"/>
      <c r="F55" s="3"/>
      <c r="G55" s="3"/>
      <c r="H55" s="3"/>
      <c r="I55" s="3"/>
      <c r="J55" s="3"/>
      <c r="L55" s="3"/>
      <c r="N55" s="3"/>
    </row>
    <row r="56" spans="1:18" x14ac:dyDescent="0.3">
      <c r="A56" s="169"/>
      <c r="B56" s="3"/>
      <c r="C56" s="3"/>
      <c r="D56" s="7"/>
      <c r="E56" s="7"/>
      <c r="F56" s="3"/>
      <c r="G56" s="3"/>
      <c r="H56" s="3"/>
      <c r="I56" s="3"/>
      <c r="J56" s="3"/>
      <c r="L56" s="3"/>
      <c r="M56" s="3"/>
      <c r="N56" s="3"/>
    </row>
    <row r="57" spans="1:18" x14ac:dyDescent="0.3">
      <c r="A57" s="169"/>
      <c r="B57" s="3"/>
      <c r="C57" s="3"/>
      <c r="D57" s="7"/>
      <c r="E57" s="7"/>
      <c r="F57" s="3"/>
      <c r="G57" s="3"/>
      <c r="H57" s="3"/>
      <c r="I57" s="3"/>
      <c r="J57" s="3"/>
      <c r="K57" s="3"/>
      <c r="L57" s="3"/>
      <c r="M57" s="3"/>
      <c r="N57" s="3"/>
    </row>
    <row r="58" spans="1:18" x14ac:dyDescent="0.3">
      <c r="A58" s="169"/>
      <c r="B58" s="3"/>
      <c r="C58" s="3"/>
      <c r="D58" s="7"/>
      <c r="E58" s="7"/>
      <c r="F58" s="3"/>
      <c r="G58" s="3"/>
      <c r="H58" s="3"/>
      <c r="I58" s="3"/>
      <c r="J58" s="3"/>
      <c r="K58" s="3"/>
      <c r="L58" s="3"/>
      <c r="M58" s="3"/>
      <c r="N58" s="3"/>
      <c r="O58" s="3"/>
      <c r="P58" s="3"/>
      <c r="Q58" s="3"/>
    </row>
    <row r="59" spans="1:18" x14ac:dyDescent="0.3">
      <c r="A59" s="169"/>
      <c r="B59" s="3"/>
      <c r="C59" s="3"/>
      <c r="D59" s="7"/>
      <c r="E59" s="7"/>
      <c r="F59" s="3"/>
      <c r="G59" s="3"/>
      <c r="H59" s="3"/>
      <c r="I59" s="3"/>
      <c r="J59" s="3"/>
      <c r="K59" s="3"/>
      <c r="L59" s="3"/>
      <c r="M59" s="3"/>
      <c r="N59" s="3"/>
      <c r="O59" s="3"/>
      <c r="P59" s="3"/>
      <c r="Q59" s="3"/>
    </row>
    <row r="60" spans="1:18" x14ac:dyDescent="0.3">
      <c r="A60" s="169"/>
      <c r="B60" s="3"/>
      <c r="C60" s="3"/>
      <c r="D60" s="7"/>
      <c r="E60" s="7"/>
      <c r="F60" s="3"/>
      <c r="G60" s="3"/>
      <c r="H60" s="3"/>
      <c r="I60" s="3"/>
      <c r="J60" s="3"/>
      <c r="K60" s="3"/>
      <c r="L60" s="3"/>
      <c r="M60" s="3"/>
      <c r="N60" s="3"/>
      <c r="O60" s="3"/>
      <c r="P60" s="3"/>
      <c r="Q60" s="3"/>
    </row>
    <row r="61" spans="1:18" x14ac:dyDescent="0.3">
      <c r="A61" s="169"/>
      <c r="B61" s="3"/>
      <c r="C61" s="3"/>
      <c r="D61" s="7"/>
      <c r="E61" s="7"/>
      <c r="F61" s="3"/>
      <c r="G61" s="3"/>
      <c r="H61" s="3"/>
      <c r="I61" s="3"/>
      <c r="J61" s="3"/>
      <c r="K61" s="3"/>
      <c r="L61" s="3"/>
      <c r="M61" s="3"/>
      <c r="N61" s="3"/>
      <c r="O61" s="3"/>
      <c r="P61" s="3"/>
      <c r="Q61" s="3"/>
    </row>
    <row r="62" spans="1:18" ht="18" x14ac:dyDescent="0.35">
      <c r="A62" s="169"/>
      <c r="B62" s="67" t="s">
        <v>1047</v>
      </c>
      <c r="C62" s="291"/>
      <c r="D62" s="292"/>
      <c r="E62" s="292"/>
      <c r="F62" s="67" t="s">
        <v>1048</v>
      </c>
      <c r="G62" s="3"/>
      <c r="H62" s="3"/>
      <c r="I62" s="3"/>
      <c r="J62" s="3"/>
      <c r="K62" s="3"/>
      <c r="L62" s="3"/>
      <c r="M62" s="3"/>
      <c r="N62" s="3"/>
      <c r="O62" s="3"/>
      <c r="P62" s="3"/>
      <c r="Q62" s="3"/>
    </row>
    <row r="63" spans="1:18" ht="18" x14ac:dyDescent="0.35">
      <c r="A63" s="169"/>
      <c r="B63" s="3" t="s">
        <v>283</v>
      </c>
      <c r="C63" s="3"/>
      <c r="D63" s="7"/>
      <c r="E63" s="7"/>
      <c r="F63" s="3"/>
      <c r="G63" s="3"/>
      <c r="H63" s="3"/>
      <c r="I63" s="3"/>
      <c r="J63" s="3"/>
      <c r="K63" s="3"/>
      <c r="L63" s="3"/>
      <c r="M63" s="3"/>
      <c r="N63" s="3"/>
      <c r="O63" s="3"/>
      <c r="P63" s="3"/>
      <c r="Q63" s="3"/>
      <c r="R63" s="67" t="s">
        <v>1090</v>
      </c>
    </row>
    <row r="64" spans="1:18" x14ac:dyDescent="0.3">
      <c r="A64" s="169"/>
      <c r="B64" s="3" t="s">
        <v>284</v>
      </c>
      <c r="C64" s="3"/>
      <c r="D64" s="7"/>
      <c r="E64" s="7"/>
      <c r="F64" s="3"/>
      <c r="G64" s="3"/>
      <c r="H64" s="3"/>
      <c r="I64" s="3"/>
      <c r="J64" s="3"/>
      <c r="K64" s="3"/>
      <c r="L64" s="3"/>
      <c r="M64" s="3"/>
      <c r="N64" s="3"/>
      <c r="O64" s="3"/>
      <c r="P64" s="3"/>
      <c r="Q64" s="3"/>
      <c r="R64" t="s">
        <v>1091</v>
      </c>
    </row>
    <row r="65" spans="1:28" ht="18" x14ac:dyDescent="0.35">
      <c r="A65" s="169"/>
      <c r="B65" s="3" t="s">
        <v>1049</v>
      </c>
      <c r="C65" s="3"/>
      <c r="D65" s="7"/>
      <c r="E65" s="7"/>
      <c r="F65" s="3"/>
      <c r="G65" s="3"/>
      <c r="H65" s="3"/>
      <c r="I65" s="3"/>
      <c r="J65" s="3"/>
      <c r="K65" s="67" t="s">
        <v>1045</v>
      </c>
      <c r="L65" s="3"/>
      <c r="M65" s="3"/>
      <c r="N65" s="3"/>
      <c r="O65" s="3"/>
      <c r="P65" s="3"/>
      <c r="Q65" s="3"/>
      <c r="R65" t="s">
        <v>1092</v>
      </c>
    </row>
    <row r="66" spans="1:28" x14ac:dyDescent="0.3">
      <c r="K66" s="3" t="s">
        <v>285</v>
      </c>
      <c r="R66" t="s">
        <v>1093</v>
      </c>
    </row>
    <row r="67" spans="1:28" x14ac:dyDescent="0.3">
      <c r="K67" s="3" t="s">
        <v>286</v>
      </c>
      <c r="R67" t="s">
        <v>1094</v>
      </c>
    </row>
    <row r="68" spans="1:28" x14ac:dyDescent="0.3">
      <c r="K68" s="3" t="s">
        <v>287</v>
      </c>
      <c r="R68" s="6" t="s">
        <v>1095</v>
      </c>
    </row>
    <row r="69" spans="1:28" ht="21" x14ac:dyDescent="0.4">
      <c r="A69" s="241" t="s">
        <v>309</v>
      </c>
      <c r="K69" s="3" t="s">
        <v>1046</v>
      </c>
    </row>
    <row r="70" spans="1:28" x14ac:dyDescent="0.3">
      <c r="A70" s="169"/>
      <c r="B70" s="3"/>
      <c r="C70" s="3"/>
      <c r="D70" s="7"/>
      <c r="E70" s="7"/>
      <c r="F70" s="3"/>
      <c r="G70" s="3"/>
      <c r="H70" s="3"/>
      <c r="I70" s="3"/>
      <c r="J70" s="3"/>
      <c r="K70" s="3"/>
      <c r="L70" s="3"/>
      <c r="M70" s="3"/>
      <c r="N70" s="3"/>
    </row>
    <row r="71" spans="1:28" x14ac:dyDescent="0.3">
      <c r="A71" s="169"/>
      <c r="B71" s="3"/>
      <c r="C71" s="3"/>
      <c r="D71" s="7"/>
      <c r="E71" s="7"/>
      <c r="F71" s="3"/>
      <c r="G71" s="3"/>
      <c r="H71" s="3"/>
      <c r="I71" s="3"/>
      <c r="J71" s="3"/>
      <c r="K71" s="3"/>
      <c r="L71" s="3"/>
      <c r="M71" s="3"/>
      <c r="N71" s="3"/>
      <c r="V71" s="169"/>
      <c r="W71" s="3"/>
      <c r="X71" s="3"/>
      <c r="Y71" s="7"/>
      <c r="Z71" s="7"/>
      <c r="AA71" s="3"/>
      <c r="AB71" s="3"/>
    </row>
    <row r="72" spans="1:28" x14ac:dyDescent="0.3">
      <c r="A72" s="169"/>
      <c r="B72" s="3"/>
      <c r="C72" s="3"/>
      <c r="D72" s="7"/>
      <c r="E72" s="7"/>
      <c r="F72" s="3"/>
      <c r="G72" s="3"/>
      <c r="H72" s="3"/>
      <c r="I72" s="3"/>
      <c r="J72" s="3"/>
      <c r="K72" s="3"/>
      <c r="L72" s="3"/>
      <c r="M72" s="3"/>
      <c r="N72" s="3"/>
      <c r="V72" s="169"/>
      <c r="W72" s="3"/>
      <c r="X72" s="3"/>
      <c r="Y72" s="7"/>
      <c r="Z72" s="7"/>
      <c r="AA72" s="3"/>
      <c r="AB72" s="3"/>
    </row>
    <row r="73" spans="1:28" x14ac:dyDescent="0.3">
      <c r="A73" s="169"/>
      <c r="B73" s="3"/>
      <c r="C73" s="3"/>
      <c r="D73" s="7"/>
      <c r="E73" s="7"/>
      <c r="F73" s="3"/>
      <c r="G73" s="3"/>
      <c r="H73" s="3"/>
      <c r="I73" s="3"/>
      <c r="J73" s="3"/>
      <c r="K73" s="3"/>
      <c r="L73" s="3"/>
      <c r="M73" s="3"/>
      <c r="N73" s="3"/>
      <c r="V73" s="169"/>
      <c r="W73" s="3"/>
      <c r="X73" s="3"/>
      <c r="Y73" s="7"/>
      <c r="Z73" s="7"/>
      <c r="AA73" s="3"/>
      <c r="AB73" s="3"/>
    </row>
    <row r="74" spans="1:28" ht="18" x14ac:dyDescent="0.35">
      <c r="A74" s="169"/>
      <c r="B74" s="3"/>
      <c r="C74" s="67"/>
      <c r="D74" s="7"/>
      <c r="E74" s="7"/>
      <c r="F74" s="3"/>
      <c r="G74" s="3"/>
      <c r="H74" s="3"/>
      <c r="I74" s="3"/>
      <c r="J74" s="3"/>
      <c r="K74" s="3"/>
      <c r="L74" s="3"/>
      <c r="M74" s="3"/>
      <c r="N74" s="3"/>
      <c r="V74" s="169"/>
      <c r="W74" s="3"/>
      <c r="X74" s="3"/>
      <c r="Y74" s="7"/>
      <c r="Z74" s="7"/>
      <c r="AA74" s="3"/>
      <c r="AB74" s="3"/>
    </row>
    <row r="75" spans="1:28" x14ac:dyDescent="0.3">
      <c r="A75" s="169"/>
      <c r="B75" s="3"/>
      <c r="C75" s="3"/>
      <c r="D75" s="7"/>
      <c r="E75" s="7"/>
      <c r="F75" s="3"/>
      <c r="G75" s="3"/>
      <c r="H75" s="3"/>
      <c r="I75" s="3"/>
      <c r="J75" s="3"/>
      <c r="K75" s="3"/>
      <c r="L75" s="3"/>
      <c r="M75" s="3"/>
      <c r="N75" s="3"/>
      <c r="V75" s="169"/>
      <c r="W75" s="3"/>
      <c r="X75" s="3"/>
      <c r="Y75" s="7"/>
      <c r="Z75" s="7"/>
      <c r="AA75" s="3"/>
      <c r="AB75" s="3"/>
    </row>
    <row r="76" spans="1:28" x14ac:dyDescent="0.3">
      <c r="A76" s="169"/>
      <c r="B76" s="3"/>
      <c r="C76" s="3"/>
      <c r="D76" s="7"/>
      <c r="E76" s="7"/>
      <c r="F76" s="3"/>
      <c r="G76" s="3"/>
      <c r="H76" s="3"/>
      <c r="I76" s="3"/>
      <c r="J76" s="3"/>
      <c r="K76" s="3"/>
      <c r="L76" s="3"/>
      <c r="M76" s="3"/>
      <c r="N76" s="3"/>
      <c r="V76" s="169"/>
      <c r="W76" s="3"/>
      <c r="X76" s="3"/>
      <c r="Y76" s="7"/>
      <c r="Z76" s="7"/>
      <c r="AA76" s="3"/>
      <c r="AB76" s="3"/>
    </row>
    <row r="77" spans="1:28" x14ac:dyDescent="0.3">
      <c r="A77" s="169"/>
      <c r="B77" s="3"/>
      <c r="C77" s="3"/>
      <c r="D77" s="7"/>
      <c r="E77" s="7"/>
      <c r="F77" s="3"/>
      <c r="G77" s="3"/>
      <c r="H77" s="3"/>
      <c r="I77" s="3"/>
      <c r="J77" s="3"/>
      <c r="K77" s="3"/>
      <c r="L77" s="3"/>
      <c r="M77" s="3"/>
      <c r="N77" s="3"/>
      <c r="V77" s="169"/>
      <c r="W77" s="3"/>
      <c r="X77" s="3"/>
      <c r="Y77" s="7"/>
      <c r="Z77" s="7"/>
      <c r="AA77" s="3"/>
      <c r="AB77" s="3"/>
    </row>
    <row r="78" spans="1:28" x14ac:dyDescent="0.3">
      <c r="A78" s="169"/>
      <c r="B78" s="3"/>
      <c r="C78" s="3"/>
      <c r="D78" s="7"/>
      <c r="E78" s="7"/>
      <c r="F78" s="3"/>
      <c r="G78" s="3"/>
      <c r="H78" s="3"/>
      <c r="I78" s="3"/>
      <c r="J78" s="3"/>
      <c r="K78" s="3"/>
      <c r="L78" s="3"/>
      <c r="M78" s="3"/>
      <c r="N78" s="3"/>
      <c r="V78" s="169"/>
      <c r="W78" s="3"/>
      <c r="X78" s="3"/>
      <c r="Y78" s="7"/>
      <c r="Z78" s="7"/>
      <c r="AA78" s="3"/>
      <c r="AB78" s="3"/>
    </row>
    <row r="79" spans="1:28" x14ac:dyDescent="0.3">
      <c r="A79" s="169"/>
      <c r="B79" s="3"/>
      <c r="C79" s="3"/>
      <c r="D79" s="7"/>
      <c r="E79" s="7"/>
      <c r="F79" s="3"/>
      <c r="G79" s="3"/>
      <c r="H79" s="3"/>
      <c r="I79" s="3"/>
      <c r="J79" s="3"/>
      <c r="K79" s="3"/>
      <c r="L79" s="3"/>
      <c r="M79" s="3"/>
      <c r="N79" s="3"/>
      <c r="V79" s="169"/>
      <c r="W79" s="3"/>
      <c r="X79" s="3"/>
      <c r="Y79" s="7"/>
      <c r="Z79" s="7"/>
      <c r="AA79" s="3"/>
      <c r="AB79" s="3"/>
    </row>
    <row r="80" spans="1:28" x14ac:dyDescent="0.3">
      <c r="A80" s="169"/>
      <c r="B80" s="3"/>
      <c r="C80" s="3"/>
      <c r="D80" s="7"/>
      <c r="E80" s="7"/>
      <c r="F80" s="3"/>
      <c r="G80" s="3"/>
      <c r="H80" s="3"/>
      <c r="I80" s="3"/>
      <c r="J80" s="3"/>
      <c r="K80" s="3"/>
      <c r="L80" s="3"/>
      <c r="M80" s="3"/>
      <c r="N80" s="3"/>
      <c r="V80" s="169"/>
      <c r="W80" s="3"/>
      <c r="X80" s="3"/>
      <c r="Y80" s="7"/>
      <c r="Z80" s="7"/>
      <c r="AA80" s="3"/>
      <c r="AB80" s="3"/>
    </row>
    <row r="81" spans="1:31" x14ac:dyDescent="0.3">
      <c r="A81" s="169"/>
      <c r="B81" s="3"/>
      <c r="C81" s="3"/>
      <c r="D81" s="7"/>
      <c r="E81" s="7"/>
      <c r="F81" s="3"/>
      <c r="G81" s="3"/>
      <c r="H81" s="3"/>
      <c r="I81" s="3"/>
      <c r="J81" s="3"/>
      <c r="K81" s="3"/>
      <c r="L81" s="3"/>
      <c r="M81" s="3"/>
      <c r="N81" s="3"/>
      <c r="V81" s="169"/>
      <c r="W81" s="3"/>
      <c r="X81" s="3"/>
      <c r="Y81" s="7"/>
      <c r="Z81" s="7"/>
      <c r="AA81" s="3"/>
      <c r="AB81" s="3"/>
    </row>
    <row r="82" spans="1:31" x14ac:dyDescent="0.3">
      <c r="A82" s="169"/>
      <c r="B82" s="3"/>
      <c r="C82" s="3"/>
      <c r="D82" s="7"/>
      <c r="E82" s="7"/>
      <c r="F82" s="3"/>
      <c r="G82" s="3"/>
      <c r="H82" s="3"/>
      <c r="I82" s="3"/>
      <c r="J82" s="3"/>
      <c r="K82" s="3"/>
      <c r="L82" s="3"/>
      <c r="M82" s="3"/>
      <c r="N82" s="3"/>
      <c r="V82" s="169"/>
      <c r="W82" s="3"/>
      <c r="X82" s="3"/>
      <c r="Y82" s="7"/>
      <c r="Z82" s="7"/>
      <c r="AA82" s="3"/>
      <c r="AB82" s="3"/>
    </row>
    <row r="83" spans="1:31" x14ac:dyDescent="0.3">
      <c r="A83" s="169"/>
      <c r="B83" s="3"/>
      <c r="C83" s="3"/>
      <c r="D83" s="7"/>
      <c r="E83" s="7"/>
      <c r="F83" s="3"/>
      <c r="G83" s="3"/>
      <c r="H83" s="3"/>
      <c r="I83" s="3"/>
      <c r="J83" s="3"/>
      <c r="K83" s="3"/>
      <c r="L83" s="3"/>
      <c r="M83" s="3"/>
      <c r="N83" s="3"/>
      <c r="V83" s="169"/>
      <c r="W83" s="3"/>
      <c r="X83" s="3"/>
      <c r="Y83" s="7"/>
      <c r="Z83" s="7"/>
      <c r="AA83" s="3"/>
      <c r="AB83" s="3"/>
    </row>
    <row r="84" spans="1:31" x14ac:dyDescent="0.3">
      <c r="A84" s="169"/>
      <c r="B84" s="3"/>
      <c r="C84" s="3"/>
      <c r="D84" s="7"/>
      <c r="E84" s="7"/>
      <c r="F84" s="3"/>
      <c r="G84" s="3"/>
      <c r="H84" s="3"/>
      <c r="I84" s="3"/>
      <c r="J84" s="3"/>
      <c r="K84" s="3"/>
      <c r="L84" s="3"/>
      <c r="M84" s="3"/>
      <c r="N84" s="3"/>
      <c r="V84" s="169"/>
      <c r="W84" s="3"/>
      <c r="X84" s="3"/>
      <c r="Y84" s="7"/>
      <c r="Z84" s="7"/>
      <c r="AA84" s="3"/>
      <c r="AB84" s="3"/>
    </row>
    <row r="85" spans="1:31" x14ac:dyDescent="0.3">
      <c r="A85" s="169"/>
      <c r="B85" s="3"/>
      <c r="C85" s="3"/>
      <c r="D85" s="7"/>
      <c r="E85" s="7"/>
      <c r="F85" s="3"/>
      <c r="G85" s="3"/>
      <c r="H85" s="3"/>
      <c r="I85" s="3"/>
      <c r="J85" s="3"/>
      <c r="K85" s="3"/>
      <c r="L85" s="3"/>
      <c r="M85" s="3"/>
      <c r="N85" s="3"/>
      <c r="V85" s="169"/>
      <c r="W85" s="3"/>
      <c r="X85" s="3"/>
      <c r="Y85" s="7"/>
      <c r="Z85" s="7"/>
      <c r="AA85" s="3"/>
      <c r="AB85" s="3"/>
    </row>
    <row r="86" spans="1:31" x14ac:dyDescent="0.3">
      <c r="A86" s="169"/>
      <c r="B86" s="3"/>
      <c r="C86" s="3"/>
      <c r="D86" s="7"/>
      <c r="E86" s="7"/>
      <c r="F86" s="3"/>
      <c r="G86" s="3"/>
      <c r="H86" s="3"/>
      <c r="I86" s="3"/>
      <c r="J86" s="3"/>
      <c r="K86" s="3"/>
      <c r="L86" s="3"/>
      <c r="M86" s="3"/>
      <c r="N86" s="3"/>
      <c r="V86" s="169"/>
      <c r="W86" s="3"/>
      <c r="X86" s="3"/>
      <c r="Y86" s="7"/>
      <c r="Z86" s="7"/>
      <c r="AA86" s="3"/>
      <c r="AB86" s="3"/>
    </row>
    <row r="87" spans="1:31" x14ac:dyDescent="0.3">
      <c r="A87" s="169"/>
      <c r="B87" s="3"/>
      <c r="C87" s="3"/>
      <c r="D87" s="7"/>
      <c r="E87" s="7"/>
      <c r="F87" s="3"/>
      <c r="G87" s="3"/>
      <c r="H87" s="3"/>
      <c r="I87" s="3"/>
      <c r="J87" s="3"/>
      <c r="K87" s="3"/>
      <c r="L87" s="3"/>
      <c r="M87" s="3"/>
      <c r="N87" s="3"/>
      <c r="V87" s="169"/>
      <c r="W87" s="3"/>
      <c r="X87" s="3"/>
      <c r="Y87" s="7"/>
      <c r="Z87" s="7"/>
      <c r="AA87" s="3"/>
      <c r="AB87" s="3"/>
    </row>
    <row r="88" spans="1:31" x14ac:dyDescent="0.3">
      <c r="A88" s="169"/>
      <c r="B88" s="3"/>
      <c r="C88" s="3"/>
      <c r="D88" s="7"/>
      <c r="E88" s="7"/>
      <c r="F88" s="3"/>
      <c r="G88" s="3"/>
      <c r="H88" s="3"/>
      <c r="I88" s="3"/>
      <c r="J88" s="3"/>
      <c r="K88" s="3"/>
      <c r="L88" s="3"/>
      <c r="M88" s="3"/>
      <c r="N88" s="3"/>
      <c r="V88" s="169"/>
      <c r="W88" s="3"/>
      <c r="X88" s="3"/>
      <c r="Y88" s="7"/>
      <c r="Z88" s="7"/>
      <c r="AA88" s="3"/>
      <c r="AB88" s="3"/>
    </row>
    <row r="89" spans="1:31" ht="21" x14ac:dyDescent="0.4">
      <c r="A89" s="169"/>
      <c r="B89" s="3"/>
      <c r="C89" s="180" t="s">
        <v>624</v>
      </c>
      <c r="D89" s="7"/>
      <c r="E89" s="7"/>
      <c r="G89" s="3"/>
      <c r="H89" s="3"/>
      <c r="I89" s="3"/>
      <c r="J89" s="180" t="s">
        <v>1033</v>
      </c>
      <c r="K89" s="3"/>
      <c r="L89" s="3"/>
      <c r="M89" s="3"/>
      <c r="N89" s="3"/>
      <c r="O89" s="242" t="s">
        <v>1034</v>
      </c>
      <c r="Q89" s="180"/>
      <c r="V89" s="169"/>
      <c r="W89" s="3"/>
      <c r="Y89" s="180" t="s">
        <v>1032</v>
      </c>
      <c r="Z89" s="7"/>
      <c r="AA89" s="3"/>
      <c r="AB89" s="3"/>
      <c r="AE89" s="180" t="s">
        <v>1084</v>
      </c>
    </row>
    <row r="90" spans="1:31" x14ac:dyDescent="0.3">
      <c r="A90" s="169"/>
      <c r="B90" s="6" t="s">
        <v>625</v>
      </c>
      <c r="C90" s="6"/>
      <c r="D90" s="7"/>
      <c r="E90" s="7"/>
      <c r="G90" s="3"/>
      <c r="H90" s="3"/>
      <c r="I90" s="3"/>
      <c r="J90" s="5" t="s">
        <v>1050</v>
      </c>
      <c r="K90" s="3"/>
      <c r="L90" s="3"/>
      <c r="M90" s="3"/>
      <c r="N90" s="3"/>
      <c r="O90" s="3"/>
      <c r="V90" s="169"/>
      <c r="Y90" s="1" t="s">
        <v>1051</v>
      </c>
      <c r="AE90" s="121" t="s">
        <v>1088</v>
      </c>
    </row>
    <row r="91" spans="1:31" x14ac:dyDescent="0.3">
      <c r="A91" s="169"/>
      <c r="B91" s="6" t="s">
        <v>628</v>
      </c>
      <c r="C91" s="6"/>
      <c r="D91" s="102"/>
      <c r="E91" s="102"/>
      <c r="H91" s="6"/>
      <c r="I91" s="6"/>
      <c r="J91" s="6" t="s">
        <v>273</v>
      </c>
      <c r="K91" s="6"/>
      <c r="L91" s="6"/>
      <c r="M91" s="6"/>
      <c r="N91" s="6"/>
      <c r="O91" s="6" t="s">
        <v>275</v>
      </c>
      <c r="Q91" s="121"/>
      <c r="R91" s="121"/>
      <c r="S91" s="121"/>
      <c r="T91" s="121"/>
      <c r="U91" s="121"/>
      <c r="V91" s="169"/>
      <c r="Y91" t="s">
        <v>1085</v>
      </c>
      <c r="AE91" s="121" t="s">
        <v>278</v>
      </c>
    </row>
    <row r="92" spans="1:31" x14ac:dyDescent="0.3">
      <c r="A92" s="169"/>
      <c r="B92" s="6" t="s">
        <v>626</v>
      </c>
      <c r="C92" s="6"/>
      <c r="D92" s="102"/>
      <c r="E92" s="102"/>
      <c r="H92" s="6"/>
      <c r="I92" s="6"/>
      <c r="J92" s="6" t="s">
        <v>274</v>
      </c>
      <c r="K92" s="6"/>
      <c r="L92" s="6"/>
      <c r="M92" s="6"/>
      <c r="N92" s="6"/>
      <c r="O92" s="6" t="s">
        <v>276</v>
      </c>
      <c r="Q92" s="121"/>
      <c r="R92" s="121"/>
      <c r="S92" s="121"/>
      <c r="T92" s="121"/>
      <c r="U92" s="121"/>
      <c r="Y92" s="7" t="s">
        <v>1086</v>
      </c>
      <c r="Z92" s="3"/>
      <c r="AA92" s="3"/>
    </row>
    <row r="93" spans="1:31" x14ac:dyDescent="0.3">
      <c r="A93" s="169"/>
      <c r="B93" s="6" t="s">
        <v>627</v>
      </c>
      <c r="C93" s="6"/>
      <c r="D93" s="102"/>
      <c r="E93" s="102"/>
      <c r="H93" s="6"/>
      <c r="I93" s="6"/>
      <c r="J93" s="6"/>
      <c r="K93" s="6"/>
      <c r="L93" s="6"/>
      <c r="M93" s="6"/>
      <c r="N93" s="6"/>
      <c r="O93" s="6" t="s">
        <v>277</v>
      </c>
      <c r="Q93" s="121"/>
      <c r="R93" s="121"/>
      <c r="S93" s="121"/>
      <c r="T93" s="121"/>
      <c r="U93" s="121"/>
      <c r="Y93" s="102" t="s">
        <v>1087</v>
      </c>
      <c r="Z93" s="6"/>
      <c r="AA93" s="6"/>
    </row>
    <row r="94" spans="1:31" x14ac:dyDescent="0.3">
      <c r="A94" s="169"/>
      <c r="B94" s="6" t="s">
        <v>1095</v>
      </c>
      <c r="C94" s="6"/>
      <c r="D94" s="102"/>
      <c r="E94" s="102"/>
      <c r="F94" s="6"/>
      <c r="G94" s="6"/>
      <c r="H94" s="6"/>
      <c r="I94" s="6"/>
      <c r="J94" s="6"/>
      <c r="K94" s="6"/>
      <c r="L94" s="6"/>
      <c r="M94" s="6"/>
      <c r="N94" s="6"/>
      <c r="O94" s="121"/>
      <c r="P94" s="121"/>
      <c r="Q94" s="121"/>
      <c r="R94" s="121"/>
      <c r="S94" s="121"/>
      <c r="T94" s="121"/>
      <c r="U94" s="121"/>
      <c r="X94" s="102"/>
      <c r="Y94" s="102"/>
      <c r="Z94" s="6"/>
      <c r="AA94" s="6"/>
    </row>
    <row r="95" spans="1:31" x14ac:dyDescent="0.3">
      <c r="A95" s="169"/>
      <c r="B95" s="3"/>
      <c r="C95" s="3"/>
      <c r="D95" s="7"/>
      <c r="E95" s="7"/>
      <c r="F95" s="3"/>
      <c r="G95" s="3"/>
      <c r="H95" s="3"/>
      <c r="I95" s="3"/>
      <c r="J95" s="3"/>
      <c r="K95" s="3"/>
      <c r="L95" s="3"/>
      <c r="M95" s="3"/>
      <c r="N95" s="3"/>
      <c r="X95" s="102"/>
      <c r="Y95" s="102"/>
      <c r="Z95" s="6"/>
      <c r="AA95" s="6"/>
    </row>
    <row r="96" spans="1:31" x14ac:dyDescent="0.3">
      <c r="B96" s="69" t="s">
        <v>310</v>
      </c>
      <c r="C96" s="181"/>
      <c r="D96" s="181"/>
      <c r="E96" s="181"/>
      <c r="F96" s="181"/>
      <c r="G96" s="181"/>
      <c r="H96" s="70"/>
      <c r="L96" s="400" t="s">
        <v>630</v>
      </c>
      <c r="M96" s="400"/>
      <c r="N96" s="400"/>
      <c r="O96" s="400"/>
      <c r="P96" s="400"/>
      <c r="Q96" s="400"/>
      <c r="R96" s="400"/>
      <c r="S96" s="400"/>
      <c r="X96" s="102"/>
      <c r="Y96" s="102"/>
      <c r="Z96" s="6"/>
      <c r="AA96" s="6"/>
    </row>
    <row r="97" spans="1:28" x14ac:dyDescent="0.3">
      <c r="B97" s="400" t="s">
        <v>629</v>
      </c>
      <c r="C97" s="400"/>
      <c r="D97" s="400"/>
      <c r="E97" s="400"/>
      <c r="F97" s="400"/>
      <c r="G97" s="400"/>
      <c r="H97" s="400"/>
      <c r="I97" s="400"/>
      <c r="L97" s="400"/>
      <c r="M97" s="400"/>
      <c r="N97" s="400"/>
      <c r="O97" s="400"/>
      <c r="P97" s="400"/>
      <c r="Q97" s="400"/>
      <c r="R97" s="400"/>
      <c r="S97" s="400"/>
      <c r="X97" s="3"/>
      <c r="Y97" s="7"/>
      <c r="Z97" s="7"/>
      <c r="AA97" s="3"/>
      <c r="AB97" s="3"/>
    </row>
    <row r="98" spans="1:28" x14ac:dyDescent="0.3">
      <c r="B98" s="400"/>
      <c r="C98" s="400"/>
      <c r="D98" s="400"/>
      <c r="E98" s="400"/>
      <c r="F98" s="400"/>
      <c r="G98" s="400"/>
      <c r="H98" s="400"/>
      <c r="I98" s="400"/>
    </row>
    <row r="99" spans="1:28" x14ac:dyDescent="0.3">
      <c r="B99" s="400"/>
      <c r="C99" s="400"/>
      <c r="D99" s="400"/>
      <c r="E99" s="400"/>
      <c r="F99" s="400"/>
      <c r="G99" s="400"/>
      <c r="H99" s="400"/>
      <c r="I99" s="400"/>
    </row>
    <row r="100" spans="1:28" x14ac:dyDescent="0.3">
      <c r="B100" s="401"/>
      <c r="C100" s="401"/>
      <c r="D100" s="401"/>
      <c r="E100" s="401"/>
      <c r="F100" s="401"/>
      <c r="G100" s="401"/>
      <c r="H100" s="401"/>
      <c r="I100" s="401"/>
    </row>
    <row r="101" spans="1:28" x14ac:dyDescent="0.3">
      <c r="B101" s="401"/>
      <c r="C101" s="401"/>
      <c r="D101" s="401"/>
      <c r="E101" s="401"/>
      <c r="F101" s="401"/>
      <c r="G101" s="401"/>
      <c r="H101" s="401"/>
      <c r="I101" s="401"/>
    </row>
    <row r="102" spans="1:28" x14ac:dyDescent="0.3">
      <c r="B102" s="402"/>
      <c r="C102" s="402"/>
      <c r="D102" s="402"/>
      <c r="E102" s="402"/>
      <c r="F102" s="402"/>
      <c r="G102" s="402"/>
      <c r="H102" s="402"/>
      <c r="I102" s="402"/>
    </row>
    <row r="103" spans="1:28" x14ac:dyDescent="0.3">
      <c r="A103" s="3"/>
      <c r="B103" s="3"/>
      <c r="C103" s="3"/>
      <c r="D103" s="3"/>
      <c r="E103" s="3"/>
      <c r="F103" s="3"/>
      <c r="G103" s="3"/>
    </row>
    <row r="108" spans="1:28" ht="21" x14ac:dyDescent="0.4">
      <c r="A108" s="241" t="s">
        <v>182</v>
      </c>
      <c r="B108" s="3"/>
      <c r="D108" s="7"/>
      <c r="E108" s="7"/>
      <c r="F108" s="3"/>
      <c r="G108" s="3"/>
      <c r="H108" s="3"/>
      <c r="I108" s="3"/>
      <c r="J108" s="3"/>
      <c r="K108" s="3"/>
      <c r="L108" s="3"/>
      <c r="M108" s="3"/>
      <c r="N108" s="3"/>
    </row>
    <row r="109" spans="1:28" x14ac:dyDescent="0.3">
      <c r="A109" s="169"/>
      <c r="B109" s="3"/>
      <c r="C109" s="3"/>
      <c r="D109" s="7"/>
      <c r="E109" s="7"/>
      <c r="F109" s="3"/>
      <c r="G109" s="3"/>
      <c r="H109" s="3"/>
      <c r="I109" s="3"/>
      <c r="J109" s="3"/>
      <c r="K109" s="3"/>
      <c r="L109" s="3"/>
      <c r="M109" s="3"/>
      <c r="N109" s="3"/>
    </row>
    <row r="110" spans="1:28" x14ac:dyDescent="0.3">
      <c r="A110" s="169"/>
      <c r="B110" s="3"/>
      <c r="C110" s="3"/>
      <c r="D110" s="7"/>
      <c r="E110" s="7"/>
      <c r="F110" s="3"/>
      <c r="G110" s="3"/>
      <c r="H110" s="3"/>
      <c r="I110" s="3"/>
      <c r="J110" s="3"/>
      <c r="K110" s="3"/>
      <c r="L110" s="3"/>
      <c r="M110" s="3"/>
      <c r="N110" s="3"/>
    </row>
    <row r="111" spans="1:28" x14ac:dyDescent="0.3">
      <c r="A111" s="169"/>
      <c r="B111" s="3"/>
      <c r="C111" s="3"/>
      <c r="D111" s="7"/>
      <c r="E111" s="7"/>
      <c r="F111" s="3"/>
      <c r="G111" s="3"/>
      <c r="H111" s="3"/>
      <c r="I111" s="3"/>
      <c r="J111" s="3"/>
      <c r="K111" s="3"/>
      <c r="L111" s="3"/>
      <c r="M111" s="3"/>
      <c r="N111" s="3"/>
    </row>
    <row r="112" spans="1:28" x14ac:dyDescent="0.3">
      <c r="A112" s="169"/>
      <c r="B112" s="3"/>
      <c r="C112" s="3"/>
      <c r="D112" s="7"/>
      <c r="E112" s="7"/>
      <c r="F112" s="3"/>
      <c r="G112" s="3"/>
      <c r="H112" s="3"/>
      <c r="I112" s="3"/>
      <c r="J112" s="3"/>
      <c r="K112" s="3"/>
      <c r="L112" s="3"/>
      <c r="M112" s="3"/>
      <c r="N112" s="3"/>
    </row>
    <row r="113" spans="1:14" x14ac:dyDescent="0.3">
      <c r="A113" s="169"/>
      <c r="B113" s="3"/>
      <c r="C113" s="3"/>
      <c r="D113" s="7"/>
      <c r="E113" s="7"/>
      <c r="F113" s="3"/>
      <c r="G113" s="3"/>
      <c r="H113" s="3"/>
      <c r="I113" s="3"/>
      <c r="J113" s="3"/>
      <c r="K113" s="3"/>
      <c r="L113" s="3"/>
      <c r="M113" s="3"/>
      <c r="N113" s="3"/>
    </row>
    <row r="114" spans="1:14" x14ac:dyDescent="0.3">
      <c r="A114" s="169"/>
      <c r="B114" s="3"/>
      <c r="C114" s="3"/>
      <c r="D114" s="7"/>
      <c r="E114" s="7"/>
      <c r="F114" s="3"/>
      <c r="G114" s="3"/>
      <c r="H114" s="3"/>
      <c r="I114" s="3"/>
      <c r="J114" s="3"/>
      <c r="K114" s="3"/>
      <c r="L114" s="3"/>
      <c r="M114" s="3"/>
      <c r="N114" s="3"/>
    </row>
    <row r="115" spans="1:14" x14ac:dyDescent="0.3">
      <c r="A115" s="169"/>
      <c r="B115" s="3"/>
      <c r="C115" s="3"/>
      <c r="D115" s="7"/>
      <c r="E115" s="7"/>
      <c r="F115" s="3"/>
      <c r="G115" s="3"/>
      <c r="H115" s="3"/>
      <c r="I115" s="3"/>
      <c r="J115" s="3"/>
      <c r="K115" s="3"/>
      <c r="L115" s="3"/>
      <c r="M115" s="3"/>
      <c r="N115" s="3"/>
    </row>
    <row r="116" spans="1:14" x14ac:dyDescent="0.3">
      <c r="A116" s="169"/>
      <c r="B116" s="3"/>
      <c r="C116" s="3"/>
      <c r="D116" s="7"/>
      <c r="E116" s="7"/>
      <c r="F116" s="3"/>
      <c r="G116" s="3"/>
      <c r="H116" s="3"/>
      <c r="I116" s="3"/>
      <c r="J116" s="3"/>
      <c r="K116" s="3"/>
      <c r="L116" s="3"/>
      <c r="M116" s="3"/>
      <c r="N116" s="3"/>
    </row>
    <row r="117" spans="1:14" x14ac:dyDescent="0.3">
      <c r="A117" s="169"/>
      <c r="B117" s="3"/>
      <c r="C117" s="3"/>
      <c r="D117" s="7"/>
      <c r="E117" s="7"/>
      <c r="F117" s="3"/>
      <c r="G117" s="3"/>
      <c r="H117" s="3"/>
      <c r="I117" s="3"/>
      <c r="J117" s="3"/>
      <c r="K117" s="3"/>
      <c r="L117" s="3"/>
      <c r="M117" s="3"/>
      <c r="N117" s="3"/>
    </row>
    <row r="118" spans="1:14" x14ac:dyDescent="0.3">
      <c r="A118" s="169"/>
      <c r="B118" s="3"/>
      <c r="C118" s="3"/>
      <c r="D118" s="7"/>
      <c r="E118" s="7"/>
      <c r="F118" s="3"/>
      <c r="G118" s="3"/>
      <c r="H118" s="3"/>
      <c r="I118" s="3"/>
      <c r="J118" s="3"/>
      <c r="K118" s="3"/>
      <c r="L118" s="3"/>
      <c r="M118" s="3"/>
      <c r="N118" s="3"/>
    </row>
    <row r="119" spans="1:14" x14ac:dyDescent="0.3">
      <c r="A119" s="169"/>
      <c r="B119" s="3"/>
      <c r="C119" s="3"/>
      <c r="D119" s="7"/>
      <c r="E119" s="7"/>
      <c r="F119" s="3"/>
      <c r="G119" s="3"/>
      <c r="H119" s="3"/>
      <c r="I119" s="3"/>
      <c r="J119" s="3"/>
      <c r="K119" s="3"/>
      <c r="L119" s="3"/>
      <c r="M119" s="3"/>
      <c r="N119" s="3"/>
    </row>
    <row r="120" spans="1:14" x14ac:dyDescent="0.3">
      <c r="A120" s="169"/>
      <c r="B120" s="3"/>
      <c r="C120" s="3"/>
      <c r="D120" s="7"/>
      <c r="E120" s="7"/>
      <c r="F120" s="3"/>
      <c r="G120" s="3"/>
      <c r="H120" s="3"/>
      <c r="I120" s="3"/>
      <c r="J120" s="3"/>
      <c r="K120" s="3"/>
      <c r="L120" s="3"/>
      <c r="M120" s="3"/>
      <c r="N120" s="3"/>
    </row>
    <row r="121" spans="1:14" x14ac:dyDescent="0.3">
      <c r="A121" s="169"/>
      <c r="B121" s="3"/>
      <c r="C121" s="3"/>
      <c r="D121" s="7"/>
      <c r="E121" s="7"/>
      <c r="F121" s="3"/>
      <c r="G121" s="3"/>
      <c r="H121" s="3"/>
      <c r="I121" s="3"/>
      <c r="J121" s="3"/>
      <c r="K121" s="3"/>
      <c r="L121" s="3"/>
      <c r="M121" s="3"/>
      <c r="N121" s="3"/>
    </row>
    <row r="122" spans="1:14" x14ac:dyDescent="0.3">
      <c r="A122" s="169"/>
      <c r="B122" s="3"/>
      <c r="C122" s="3"/>
      <c r="D122" s="7"/>
      <c r="E122" s="7"/>
      <c r="F122" s="3"/>
      <c r="G122" s="3"/>
      <c r="H122" s="3"/>
      <c r="I122" s="3"/>
      <c r="J122" s="3"/>
      <c r="K122" s="3"/>
      <c r="L122" s="3"/>
      <c r="M122" s="3"/>
      <c r="N122" s="3"/>
    </row>
    <row r="123" spans="1:14" x14ac:dyDescent="0.3">
      <c r="A123" s="169"/>
      <c r="B123" s="3"/>
      <c r="C123" s="3"/>
      <c r="D123" s="7"/>
      <c r="E123" s="7"/>
      <c r="F123" s="3"/>
      <c r="G123" s="3"/>
      <c r="H123" s="3"/>
      <c r="I123" s="3"/>
      <c r="J123" s="3"/>
      <c r="K123" s="3"/>
      <c r="L123" s="3"/>
      <c r="M123" s="3"/>
      <c r="N123" s="3"/>
    </row>
    <row r="124" spans="1:14" x14ac:dyDescent="0.3">
      <c r="A124" s="169"/>
      <c r="B124" s="3"/>
      <c r="C124" s="3"/>
      <c r="D124" s="7"/>
      <c r="E124" s="7"/>
      <c r="F124" s="3"/>
      <c r="G124" s="3"/>
      <c r="H124" s="3"/>
      <c r="I124" s="3"/>
      <c r="J124" s="3"/>
      <c r="K124" s="3"/>
      <c r="L124" s="3"/>
      <c r="M124" s="3"/>
      <c r="N124" s="3"/>
    </row>
    <row r="125" spans="1:14" x14ac:dyDescent="0.3">
      <c r="A125" s="169"/>
      <c r="B125" s="3"/>
      <c r="C125" s="3"/>
      <c r="D125" s="7"/>
      <c r="E125" s="7"/>
      <c r="F125" s="3"/>
      <c r="G125" s="3"/>
      <c r="H125" s="3"/>
      <c r="I125" s="3"/>
      <c r="J125" s="3"/>
      <c r="K125" s="3"/>
      <c r="L125" s="3"/>
      <c r="M125" s="3"/>
      <c r="N125" s="3"/>
    </row>
    <row r="126" spans="1:14" x14ac:dyDescent="0.3">
      <c r="A126" s="169"/>
      <c r="B126" s="3"/>
      <c r="C126" s="3"/>
      <c r="D126" s="7"/>
      <c r="E126" s="7"/>
      <c r="F126" s="3"/>
      <c r="G126" s="3"/>
      <c r="H126" s="3"/>
      <c r="I126" s="3"/>
      <c r="J126" s="3"/>
      <c r="K126" s="3"/>
      <c r="L126" s="3"/>
      <c r="M126" s="3"/>
      <c r="N126" s="3"/>
    </row>
    <row r="127" spans="1:14" x14ac:dyDescent="0.3">
      <c r="A127" s="169"/>
      <c r="B127" s="3"/>
      <c r="C127" s="3"/>
      <c r="D127" s="7"/>
      <c r="E127" s="7"/>
      <c r="F127" s="3"/>
      <c r="G127" s="3"/>
      <c r="H127" s="3"/>
      <c r="I127" s="3"/>
      <c r="J127" s="3"/>
      <c r="K127" s="3"/>
      <c r="L127" s="3"/>
      <c r="M127" s="3"/>
      <c r="N127" s="3"/>
    </row>
    <row r="128" spans="1:14" x14ac:dyDescent="0.3">
      <c r="A128" s="169"/>
      <c r="B128" s="3"/>
      <c r="C128" s="3"/>
      <c r="D128" s="7"/>
      <c r="E128" s="7"/>
      <c r="F128" s="3"/>
      <c r="G128" s="3"/>
      <c r="H128" s="3"/>
      <c r="I128" s="3"/>
      <c r="J128" s="3"/>
      <c r="K128" s="3"/>
      <c r="L128" s="3"/>
      <c r="M128" s="3"/>
      <c r="N128" s="3"/>
    </row>
    <row r="129" spans="1:22" x14ac:dyDescent="0.3">
      <c r="A129" s="169"/>
      <c r="B129" s="3"/>
      <c r="C129" s="3"/>
      <c r="D129" s="7"/>
      <c r="E129" s="7"/>
      <c r="F129" s="3"/>
      <c r="G129" s="3"/>
      <c r="H129" s="3"/>
      <c r="I129" s="3"/>
      <c r="J129" s="3"/>
      <c r="K129" s="3"/>
      <c r="L129" s="3"/>
      <c r="M129" s="3"/>
      <c r="N129" s="3"/>
    </row>
    <row r="130" spans="1:22" x14ac:dyDescent="0.3">
      <c r="A130" s="169"/>
      <c r="B130" s="3"/>
      <c r="C130" s="3"/>
      <c r="D130" s="7"/>
      <c r="E130" s="7"/>
      <c r="F130" s="3"/>
      <c r="G130" s="3"/>
      <c r="H130" s="3"/>
      <c r="I130" s="3"/>
      <c r="J130" s="3"/>
      <c r="K130" s="3"/>
      <c r="L130" s="3"/>
      <c r="M130" s="3"/>
      <c r="N130" s="3"/>
    </row>
    <row r="131" spans="1:22" x14ac:dyDescent="0.3">
      <c r="A131" s="169"/>
      <c r="B131" s="3"/>
      <c r="C131" s="3"/>
      <c r="D131" s="7"/>
      <c r="E131" s="7"/>
      <c r="F131" s="3"/>
      <c r="G131" s="3"/>
      <c r="H131" s="3"/>
      <c r="I131" s="3"/>
      <c r="J131" s="3"/>
      <c r="K131" s="3"/>
      <c r="L131" s="3"/>
      <c r="M131" s="3"/>
      <c r="N131" s="3"/>
    </row>
    <row r="132" spans="1:22" x14ac:dyDescent="0.3">
      <c r="A132" s="169"/>
      <c r="B132" s="3"/>
      <c r="C132" s="3"/>
      <c r="D132" s="7"/>
      <c r="E132" s="7"/>
      <c r="F132" s="3"/>
      <c r="G132" s="3"/>
      <c r="H132" s="3"/>
      <c r="I132" s="3"/>
      <c r="J132" s="3"/>
      <c r="K132" s="3"/>
      <c r="L132" s="3"/>
      <c r="M132" s="3"/>
      <c r="N132" s="3"/>
    </row>
    <row r="133" spans="1:22" x14ac:dyDescent="0.3">
      <c r="A133" s="169"/>
      <c r="B133" s="3"/>
      <c r="C133" s="3"/>
      <c r="D133" s="7"/>
      <c r="E133" s="7"/>
      <c r="F133" s="3"/>
      <c r="G133" s="3"/>
      <c r="H133" s="3"/>
      <c r="I133" s="3"/>
      <c r="J133" s="3"/>
      <c r="K133" s="3"/>
      <c r="L133" s="3"/>
      <c r="M133" s="3"/>
      <c r="N133" s="3"/>
      <c r="Q133" s="1" t="s">
        <v>631</v>
      </c>
      <c r="R133" s="1"/>
      <c r="S133" s="1"/>
    </row>
    <row r="134" spans="1:22" x14ac:dyDescent="0.3">
      <c r="A134" s="169"/>
      <c r="B134" s="195" t="s">
        <v>311</v>
      </c>
      <c r="D134" s="102"/>
      <c r="E134" s="102"/>
      <c r="F134" s="6"/>
      <c r="G134" s="6"/>
      <c r="H134" s="3"/>
      <c r="I134" s="243" t="s">
        <v>312</v>
      </c>
      <c r="J134" s="18"/>
      <c r="K134" s="18"/>
      <c r="L134" s="18"/>
      <c r="M134" s="18"/>
      <c r="N134" s="18"/>
      <c r="O134" s="42"/>
      <c r="Q134" s="245" t="s">
        <v>1052</v>
      </c>
      <c r="R134" s="244"/>
      <c r="S134" s="244"/>
      <c r="T134" s="244"/>
      <c r="U134" s="244"/>
    </row>
    <row r="135" spans="1:22" ht="15" customHeight="1" x14ac:dyDescent="0.3">
      <c r="A135" s="169"/>
      <c r="B135" s="6" t="s">
        <v>313</v>
      </c>
      <c r="D135" s="102"/>
      <c r="E135" s="102"/>
      <c r="F135" s="6"/>
      <c r="G135" s="6"/>
      <c r="H135" s="3"/>
      <c r="I135" s="18" t="s">
        <v>314</v>
      </c>
      <c r="J135" s="18"/>
      <c r="K135" s="18"/>
      <c r="L135" s="18"/>
      <c r="M135" s="18"/>
      <c r="N135" s="18"/>
      <c r="O135" s="42"/>
      <c r="Q135" s="245" t="s">
        <v>1053</v>
      </c>
      <c r="R135" s="244"/>
      <c r="S135" s="244"/>
      <c r="T135" s="244"/>
      <c r="U135" s="244"/>
      <c r="V135" s="231"/>
    </row>
    <row r="136" spans="1:22" x14ac:dyDescent="0.3">
      <c r="A136" s="169"/>
      <c r="B136" s="3"/>
      <c r="C136" s="3"/>
      <c r="D136" s="7"/>
      <c r="E136" s="7"/>
      <c r="F136" s="3"/>
      <c r="G136" s="3"/>
      <c r="H136" s="3"/>
      <c r="I136" s="18"/>
      <c r="J136" s="18"/>
      <c r="K136" s="18"/>
      <c r="L136" s="18"/>
      <c r="M136" s="18"/>
      <c r="N136" s="18"/>
      <c r="O136" s="42"/>
      <c r="Q136" s="6" t="s">
        <v>1095</v>
      </c>
      <c r="V136" s="231"/>
    </row>
    <row r="137" spans="1:22" x14ac:dyDescent="0.3">
      <c r="A137" s="169"/>
      <c r="B137" s="3"/>
      <c r="C137" s="3"/>
      <c r="D137" s="7"/>
      <c r="E137" s="7"/>
      <c r="F137" s="3"/>
      <c r="G137" s="3"/>
      <c r="H137" s="3"/>
      <c r="I137" s="3"/>
      <c r="J137" s="3"/>
      <c r="K137" s="3"/>
      <c r="L137" s="3"/>
      <c r="M137" s="3"/>
      <c r="N137" s="3"/>
      <c r="Q137" s="245"/>
      <c r="R137" s="244"/>
      <c r="S137" s="244"/>
      <c r="T137" s="244"/>
      <c r="U137" s="244"/>
      <c r="V137" s="231"/>
    </row>
    <row r="138" spans="1:22" x14ac:dyDescent="0.3">
      <c r="A138" s="169"/>
      <c r="B138" s="3"/>
      <c r="C138" s="3"/>
      <c r="D138" s="3"/>
      <c r="E138" s="3"/>
      <c r="F138" s="3"/>
      <c r="G138" s="3"/>
      <c r="H138" s="3"/>
      <c r="I138" s="3"/>
      <c r="J138" s="3"/>
      <c r="K138" s="3"/>
      <c r="L138" s="3"/>
      <c r="M138" s="3"/>
      <c r="N138" s="3"/>
      <c r="Q138" s="244"/>
      <c r="R138" s="244"/>
      <c r="S138" s="244"/>
      <c r="T138" s="244"/>
      <c r="U138" s="244"/>
      <c r="V138" s="231"/>
    </row>
    <row r="145" spans="1:14" ht="21" x14ac:dyDescent="0.4">
      <c r="A145" s="241" t="s">
        <v>1054</v>
      </c>
      <c r="B145" s="3"/>
      <c r="D145" s="7"/>
      <c r="E145" s="7"/>
      <c r="F145" s="3"/>
      <c r="G145" s="3"/>
      <c r="H145" s="3"/>
      <c r="I145" s="3"/>
      <c r="J145" s="3"/>
      <c r="K145" s="3"/>
      <c r="L145" s="3"/>
      <c r="M145" s="3"/>
      <c r="N145" s="3"/>
    </row>
    <row r="146" spans="1:14" x14ac:dyDescent="0.3">
      <c r="A146" s="169"/>
      <c r="B146" s="3"/>
      <c r="C146" s="3"/>
      <c r="D146" s="7"/>
      <c r="E146" s="7"/>
      <c r="F146" s="3"/>
      <c r="G146" s="3"/>
      <c r="H146" s="3"/>
      <c r="I146" s="3"/>
      <c r="J146" s="3"/>
      <c r="K146" s="3"/>
      <c r="L146" s="3"/>
      <c r="M146" s="3"/>
      <c r="N146" s="3"/>
    </row>
    <row r="147" spans="1:14" x14ac:dyDescent="0.3">
      <c r="A147" s="169"/>
      <c r="B147" s="3"/>
      <c r="C147" s="3"/>
      <c r="D147" s="7"/>
      <c r="E147" s="7"/>
      <c r="F147" s="3"/>
      <c r="G147" s="3"/>
      <c r="H147" s="3"/>
      <c r="I147" s="3"/>
      <c r="J147" s="3"/>
      <c r="K147" s="3"/>
      <c r="L147" s="3"/>
      <c r="M147" s="3"/>
      <c r="N147" s="3"/>
    </row>
    <row r="148" spans="1:14" x14ac:dyDescent="0.3">
      <c r="A148" s="169"/>
      <c r="B148" s="3"/>
      <c r="C148" s="3"/>
      <c r="D148" s="7"/>
      <c r="E148" s="7"/>
      <c r="F148" s="3"/>
      <c r="G148" s="3"/>
      <c r="H148" s="3"/>
      <c r="I148" s="3"/>
      <c r="J148" s="3"/>
      <c r="K148" s="3"/>
      <c r="L148" s="3"/>
      <c r="M148" s="3"/>
      <c r="N148" s="3"/>
    </row>
    <row r="149" spans="1:14" x14ac:dyDescent="0.3">
      <c r="A149" s="169"/>
      <c r="B149" s="3"/>
      <c r="C149" s="3"/>
      <c r="D149" s="7"/>
      <c r="E149" s="7"/>
      <c r="F149" s="3"/>
      <c r="G149" s="3"/>
      <c r="H149" s="3"/>
      <c r="I149" s="3"/>
      <c r="J149" s="3"/>
      <c r="K149" s="3"/>
      <c r="L149" s="3"/>
      <c r="M149" s="3"/>
      <c r="N149" s="3"/>
    </row>
    <row r="150" spans="1:14" x14ac:dyDescent="0.3">
      <c r="A150" s="169"/>
      <c r="B150" s="3"/>
      <c r="C150" s="3"/>
      <c r="D150" s="7"/>
      <c r="E150" s="7"/>
      <c r="F150" s="3"/>
      <c r="G150" s="3"/>
      <c r="H150" s="3"/>
      <c r="I150" s="3"/>
      <c r="J150" s="3"/>
      <c r="K150" s="3"/>
      <c r="L150" s="3"/>
      <c r="M150" s="3"/>
      <c r="N150" s="3"/>
    </row>
    <row r="151" spans="1:14" x14ac:dyDescent="0.3">
      <c r="A151" s="169"/>
      <c r="B151" s="3"/>
      <c r="C151" s="3"/>
      <c r="D151" s="7"/>
      <c r="E151" s="7"/>
      <c r="F151" s="3"/>
      <c r="G151" s="3"/>
      <c r="H151" s="3"/>
      <c r="I151" s="3"/>
      <c r="J151" s="3"/>
      <c r="K151" s="3"/>
      <c r="L151" s="3"/>
      <c r="M151" s="3"/>
      <c r="N151" s="3"/>
    </row>
    <row r="152" spans="1:14" x14ac:dyDescent="0.3">
      <c r="A152" s="169"/>
      <c r="B152" s="3"/>
      <c r="C152" s="3"/>
      <c r="D152" s="7"/>
      <c r="E152" s="7"/>
      <c r="F152" s="3"/>
      <c r="G152" s="3"/>
      <c r="H152" s="3"/>
      <c r="I152" s="3"/>
      <c r="J152" s="3"/>
      <c r="K152" s="3"/>
      <c r="L152" s="3"/>
      <c r="M152" s="3"/>
      <c r="N152" s="3"/>
    </row>
    <row r="153" spans="1:14" x14ac:dyDescent="0.3">
      <c r="A153" s="169"/>
      <c r="B153" s="3"/>
      <c r="C153" s="3"/>
      <c r="D153" s="7"/>
      <c r="E153" s="7"/>
      <c r="F153" s="3"/>
      <c r="G153" s="3"/>
      <c r="H153" s="3"/>
      <c r="I153" s="3"/>
      <c r="J153" s="3"/>
      <c r="K153" s="3"/>
      <c r="L153" s="3"/>
      <c r="M153" s="3"/>
      <c r="N153" s="3"/>
    </row>
    <row r="154" spans="1:14" x14ac:dyDescent="0.3">
      <c r="A154" s="169"/>
      <c r="B154" s="3"/>
      <c r="C154" s="3"/>
      <c r="D154" s="7"/>
      <c r="E154" s="7"/>
      <c r="F154" s="3"/>
      <c r="G154" s="3"/>
      <c r="H154" s="3"/>
      <c r="I154" s="3"/>
      <c r="J154" s="3"/>
      <c r="K154" s="3"/>
      <c r="L154" s="3"/>
      <c r="M154" s="3"/>
      <c r="N154" s="3"/>
    </row>
    <row r="155" spans="1:14" x14ac:dyDescent="0.3">
      <c r="A155" s="169"/>
      <c r="B155" s="3"/>
      <c r="C155" s="3"/>
      <c r="D155" s="7"/>
      <c r="E155" s="7"/>
      <c r="F155" s="3"/>
      <c r="G155" s="3"/>
      <c r="H155" s="3"/>
      <c r="I155" s="3"/>
      <c r="J155" s="3"/>
      <c r="K155" s="3"/>
      <c r="L155" s="3"/>
      <c r="M155" s="3"/>
      <c r="N155" s="3"/>
    </row>
    <row r="156" spans="1:14" x14ac:dyDescent="0.3">
      <c r="A156" s="169"/>
      <c r="B156" s="3"/>
      <c r="C156" s="3"/>
      <c r="D156" s="7"/>
      <c r="E156" s="7"/>
      <c r="F156" s="3"/>
      <c r="G156" s="3"/>
      <c r="H156" s="3"/>
      <c r="I156" s="3"/>
      <c r="J156" s="3"/>
      <c r="K156" s="3"/>
      <c r="L156" s="3"/>
      <c r="M156" s="3"/>
      <c r="N156" s="3"/>
    </row>
    <row r="157" spans="1:14" x14ac:dyDescent="0.3">
      <c r="A157" s="169"/>
      <c r="B157" s="3"/>
      <c r="C157" s="3"/>
      <c r="D157" s="7"/>
      <c r="E157" s="7"/>
      <c r="F157" s="3"/>
      <c r="G157" s="3"/>
      <c r="H157" s="3"/>
      <c r="I157" s="3"/>
      <c r="J157" s="3"/>
      <c r="K157" s="3"/>
      <c r="L157" s="3"/>
      <c r="M157" s="3"/>
      <c r="N157" s="3"/>
    </row>
    <row r="158" spans="1:14" x14ac:dyDescent="0.3">
      <c r="A158" s="169"/>
      <c r="B158" s="3"/>
      <c r="C158" s="3"/>
      <c r="D158" s="7"/>
      <c r="E158" s="7"/>
      <c r="F158" s="3"/>
      <c r="G158" s="3"/>
      <c r="H158" s="3"/>
      <c r="I158" s="3"/>
      <c r="J158" s="3"/>
      <c r="K158" s="3"/>
      <c r="L158" s="3"/>
      <c r="M158" s="3"/>
      <c r="N158" s="3"/>
    </row>
    <row r="159" spans="1:14" x14ac:dyDescent="0.3">
      <c r="A159" s="169"/>
      <c r="B159" s="3"/>
      <c r="C159" s="3"/>
      <c r="D159" s="7"/>
      <c r="E159" s="7"/>
      <c r="F159" s="3"/>
      <c r="G159" s="3"/>
      <c r="H159" s="3"/>
      <c r="I159" s="3"/>
      <c r="J159" s="3"/>
      <c r="K159" s="3"/>
      <c r="L159" s="3"/>
      <c r="M159" s="3"/>
      <c r="N159" s="3"/>
    </row>
    <row r="160" spans="1:14" x14ac:dyDescent="0.3">
      <c r="A160" s="169"/>
      <c r="B160" s="3"/>
      <c r="C160" s="3"/>
      <c r="D160" s="7"/>
      <c r="E160" s="7"/>
      <c r="F160" s="3"/>
      <c r="G160" s="3"/>
      <c r="H160" s="3"/>
      <c r="I160" s="3"/>
      <c r="J160" s="3"/>
      <c r="K160" s="3"/>
      <c r="L160" s="3"/>
      <c r="M160" s="3"/>
      <c r="N160" s="3"/>
    </row>
    <row r="161" spans="1:15" x14ac:dyDescent="0.3">
      <c r="A161" s="169"/>
      <c r="B161" s="3"/>
      <c r="C161" s="3"/>
      <c r="D161" s="7"/>
      <c r="E161" s="7"/>
      <c r="F161" s="3"/>
      <c r="G161" s="3"/>
      <c r="H161" s="3"/>
      <c r="I161" s="3"/>
      <c r="J161" s="3"/>
      <c r="K161" s="3"/>
      <c r="L161" s="3"/>
      <c r="M161" s="3"/>
      <c r="N161" s="3"/>
    </row>
    <row r="162" spans="1:15" x14ac:dyDescent="0.3">
      <c r="A162" s="169"/>
      <c r="B162" s="3"/>
      <c r="C162" s="3"/>
      <c r="D162" s="7"/>
      <c r="E162" s="7"/>
      <c r="F162" s="3"/>
      <c r="G162" s="3"/>
      <c r="H162" s="3"/>
      <c r="I162" s="3"/>
      <c r="J162" s="3"/>
      <c r="K162" s="3"/>
      <c r="L162" s="3"/>
      <c r="M162" s="3"/>
      <c r="N162" s="3"/>
    </row>
    <row r="163" spans="1:15" x14ac:dyDescent="0.3">
      <c r="A163" s="169"/>
      <c r="B163" s="3"/>
      <c r="C163" s="3"/>
      <c r="D163" s="7"/>
      <c r="E163" s="7"/>
      <c r="F163" s="3"/>
      <c r="G163" s="3"/>
      <c r="H163" s="3"/>
      <c r="I163" s="3"/>
      <c r="J163" s="3"/>
      <c r="K163" s="3"/>
      <c r="L163" s="3"/>
      <c r="M163" s="3"/>
      <c r="N163" s="3"/>
    </row>
    <row r="164" spans="1:15" x14ac:dyDescent="0.3">
      <c r="A164" s="169"/>
      <c r="B164" s="3"/>
      <c r="C164" s="3"/>
      <c r="D164" s="7"/>
      <c r="E164" s="7"/>
      <c r="F164" s="3"/>
      <c r="G164" s="3"/>
      <c r="H164" s="3"/>
      <c r="I164" s="3"/>
      <c r="J164" s="3"/>
      <c r="K164" s="3"/>
      <c r="L164" s="3"/>
      <c r="M164" s="3"/>
      <c r="N164" s="3"/>
    </row>
    <row r="165" spans="1:15" x14ac:dyDescent="0.3">
      <c r="A165" s="169"/>
      <c r="B165" s="3"/>
      <c r="C165" s="3"/>
      <c r="D165" s="7"/>
      <c r="E165" s="7"/>
      <c r="F165" s="3"/>
      <c r="G165" s="3"/>
      <c r="H165" s="3"/>
      <c r="I165" s="3"/>
      <c r="J165" s="3"/>
      <c r="K165" s="3"/>
      <c r="L165" s="3"/>
      <c r="M165" s="3"/>
      <c r="N165" s="3"/>
    </row>
    <row r="166" spans="1:15" x14ac:dyDescent="0.3">
      <c r="A166" s="169"/>
      <c r="B166" s="3"/>
      <c r="C166" s="3"/>
      <c r="D166" s="7"/>
      <c r="E166" s="7"/>
      <c r="F166" s="3"/>
      <c r="G166" s="3"/>
      <c r="H166" s="3"/>
      <c r="I166" s="3"/>
      <c r="J166" s="3"/>
      <c r="K166" s="3"/>
      <c r="L166" s="3"/>
      <c r="M166" s="3"/>
      <c r="N166" s="3"/>
    </row>
    <row r="167" spans="1:15" x14ac:dyDescent="0.3">
      <c r="A167" s="169"/>
      <c r="B167" s="3"/>
      <c r="C167" s="3"/>
      <c r="D167" s="7"/>
      <c r="E167" s="7"/>
      <c r="F167" s="3"/>
      <c r="G167" s="3"/>
      <c r="H167" s="3"/>
      <c r="I167" s="3"/>
      <c r="J167" s="3"/>
      <c r="K167" s="3"/>
      <c r="L167" s="3"/>
      <c r="M167" s="3"/>
      <c r="N167" s="3"/>
    </row>
    <row r="168" spans="1:15" x14ac:dyDescent="0.3">
      <c r="A168" s="169"/>
      <c r="B168" s="3"/>
      <c r="C168" s="3"/>
      <c r="D168" s="7"/>
      <c r="E168" s="7"/>
      <c r="F168" s="3"/>
      <c r="G168" s="3"/>
      <c r="H168" s="3"/>
      <c r="I168" s="3"/>
      <c r="J168" s="3"/>
      <c r="K168" s="3"/>
      <c r="L168" s="3"/>
      <c r="M168" s="3"/>
      <c r="N168" s="3"/>
    </row>
    <row r="169" spans="1:15" x14ac:dyDescent="0.3">
      <c r="A169" s="169"/>
      <c r="B169" s="3"/>
      <c r="C169" s="3"/>
      <c r="D169" s="7"/>
      <c r="E169" s="7"/>
      <c r="F169" s="3"/>
      <c r="G169" s="3"/>
      <c r="H169" s="3"/>
      <c r="I169" s="3"/>
      <c r="J169" s="3"/>
      <c r="K169" s="3"/>
      <c r="L169" s="3"/>
      <c r="M169" s="3"/>
      <c r="N169" s="3"/>
    </row>
    <row r="170" spans="1:15" x14ac:dyDescent="0.3">
      <c r="A170" s="169"/>
      <c r="B170" s="5" t="s">
        <v>258</v>
      </c>
      <c r="D170" s="7"/>
      <c r="E170" s="7"/>
      <c r="F170" s="5" t="s">
        <v>260</v>
      </c>
      <c r="G170" s="3"/>
      <c r="I170" s="3"/>
      <c r="J170" s="3"/>
      <c r="K170" s="3"/>
      <c r="L170" s="3"/>
      <c r="M170" s="5" t="s">
        <v>265</v>
      </c>
      <c r="N170" s="3"/>
      <c r="O170" s="3" t="s">
        <v>266</v>
      </c>
    </row>
    <row r="171" spans="1:15" x14ac:dyDescent="0.3">
      <c r="A171" s="169"/>
      <c r="B171" s="3" t="s">
        <v>261</v>
      </c>
      <c r="D171" s="7"/>
      <c r="E171" s="7"/>
      <c r="F171" s="3" t="s">
        <v>272</v>
      </c>
      <c r="G171" s="3"/>
      <c r="I171" s="3"/>
      <c r="J171" s="3"/>
      <c r="K171" s="3"/>
      <c r="L171" s="3"/>
      <c r="M171" s="5" t="s">
        <v>193</v>
      </c>
      <c r="N171" s="3"/>
      <c r="O171" s="3" t="s">
        <v>267</v>
      </c>
    </row>
    <row r="172" spans="1:15" x14ac:dyDescent="0.3">
      <c r="A172" s="169"/>
      <c r="B172" s="3" t="s">
        <v>259</v>
      </c>
      <c r="D172" s="7"/>
      <c r="E172" s="7"/>
      <c r="F172" s="3" t="s">
        <v>262</v>
      </c>
      <c r="G172" s="3"/>
      <c r="I172" s="3"/>
      <c r="J172" s="3"/>
      <c r="K172" s="3"/>
      <c r="L172" s="3"/>
      <c r="M172" s="3" t="s">
        <v>268</v>
      </c>
      <c r="N172" s="3"/>
      <c r="O172" s="3"/>
    </row>
    <row r="173" spans="1:15" x14ac:dyDescent="0.3">
      <c r="A173" s="169"/>
      <c r="B173" s="3" t="s">
        <v>263</v>
      </c>
      <c r="D173" s="7"/>
      <c r="E173" s="7"/>
      <c r="F173" s="3" t="s">
        <v>264</v>
      </c>
      <c r="G173" s="3"/>
      <c r="I173" s="3"/>
      <c r="J173" s="3"/>
      <c r="K173" s="3"/>
      <c r="L173" s="3"/>
      <c r="M173" s="3" t="s">
        <v>269</v>
      </c>
      <c r="N173" s="3"/>
      <c r="O173" s="3"/>
    </row>
    <row r="174" spans="1:15" x14ac:dyDescent="0.3">
      <c r="A174" s="169"/>
      <c r="B174" s="3"/>
      <c r="C174" s="3"/>
      <c r="D174" s="7"/>
      <c r="E174" s="7"/>
      <c r="F174" s="3"/>
      <c r="G174" s="3"/>
      <c r="H174" s="3"/>
      <c r="I174" s="3"/>
      <c r="J174" s="3"/>
      <c r="K174" s="3"/>
      <c r="L174" s="3"/>
      <c r="M174" s="3" t="s">
        <v>270</v>
      </c>
      <c r="N174" s="3"/>
      <c r="O174" s="3"/>
    </row>
    <row r="175" spans="1:15" ht="21" x14ac:dyDescent="0.4">
      <c r="A175" s="169"/>
      <c r="B175" s="3"/>
      <c r="C175" s="182"/>
      <c r="D175" s="182"/>
      <c r="E175" s="182"/>
      <c r="F175" s="182"/>
      <c r="G175" s="182"/>
      <c r="H175" s="3"/>
      <c r="I175" s="3"/>
      <c r="J175" s="3"/>
      <c r="K175" s="3"/>
      <c r="L175" s="3"/>
      <c r="M175" s="3"/>
    </row>
    <row r="176" spans="1:15" ht="21" x14ac:dyDescent="0.4">
      <c r="A176" s="241" t="s">
        <v>308</v>
      </c>
      <c r="B176" s="3"/>
      <c r="D176" s="7"/>
      <c r="E176" s="7"/>
      <c r="F176" s="3"/>
      <c r="G176" s="3"/>
      <c r="H176" s="3"/>
      <c r="I176" s="3"/>
      <c r="J176" s="3"/>
      <c r="K176" s="3"/>
      <c r="L176" s="3"/>
      <c r="M176" s="3"/>
      <c r="N176" s="3"/>
    </row>
    <row r="177" spans="1:14" x14ac:dyDescent="0.3">
      <c r="A177" s="169"/>
      <c r="B177" s="3"/>
      <c r="C177" s="3"/>
      <c r="D177" s="7"/>
      <c r="E177" s="7"/>
      <c r="F177" s="3"/>
      <c r="G177" s="3"/>
      <c r="H177" s="3"/>
      <c r="I177" s="3"/>
      <c r="J177" s="3"/>
      <c r="K177" s="3"/>
      <c r="L177" s="3"/>
      <c r="M177" s="3"/>
      <c r="N177" s="3"/>
    </row>
    <row r="178" spans="1:14" x14ac:dyDescent="0.3">
      <c r="A178" s="169"/>
      <c r="B178" s="3"/>
      <c r="C178" s="3"/>
      <c r="D178" s="7"/>
      <c r="E178" s="7"/>
      <c r="F178" s="3"/>
      <c r="G178" s="3"/>
      <c r="H178" s="3"/>
      <c r="I178" s="3"/>
      <c r="J178" s="3"/>
      <c r="K178" s="3"/>
      <c r="L178" s="3"/>
      <c r="M178" s="3"/>
      <c r="N178" s="3"/>
    </row>
    <row r="179" spans="1:14" x14ac:dyDescent="0.3">
      <c r="A179" s="169"/>
      <c r="B179" s="3"/>
      <c r="C179" s="3"/>
      <c r="D179" s="7"/>
      <c r="E179" s="7"/>
      <c r="F179" s="3"/>
      <c r="G179" s="3"/>
      <c r="H179" s="3"/>
      <c r="I179" s="3"/>
      <c r="J179" s="3"/>
      <c r="K179" s="3"/>
      <c r="L179" s="3"/>
      <c r="M179" s="3"/>
      <c r="N179" s="3"/>
    </row>
    <row r="180" spans="1:14" x14ac:dyDescent="0.3">
      <c r="A180" s="169"/>
      <c r="B180" s="3"/>
      <c r="C180" s="3"/>
      <c r="D180" s="7"/>
      <c r="E180" s="7"/>
      <c r="F180" s="3"/>
      <c r="G180" s="3"/>
      <c r="H180" s="3"/>
      <c r="I180" s="3"/>
      <c r="J180" s="3"/>
      <c r="K180" s="3"/>
      <c r="L180" s="3"/>
      <c r="M180" s="3"/>
      <c r="N180" s="3"/>
    </row>
    <row r="181" spans="1:14" x14ac:dyDescent="0.3">
      <c r="A181" s="169"/>
      <c r="B181" s="3"/>
      <c r="C181" s="3"/>
      <c r="D181" s="7"/>
      <c r="E181" s="7"/>
      <c r="F181" s="3"/>
      <c r="G181" s="3"/>
      <c r="H181" s="3"/>
      <c r="I181" s="3"/>
      <c r="J181" s="3"/>
      <c r="K181" s="3"/>
      <c r="L181" s="3"/>
      <c r="M181" s="3"/>
      <c r="N181" s="3"/>
    </row>
    <row r="182" spans="1:14" x14ac:dyDescent="0.3">
      <c r="A182" s="169"/>
      <c r="B182" s="3"/>
      <c r="C182" s="3"/>
      <c r="D182" s="7"/>
      <c r="E182" s="7"/>
      <c r="F182" s="3"/>
      <c r="G182" s="3"/>
      <c r="H182" s="3"/>
      <c r="I182" s="3"/>
      <c r="J182" s="3"/>
      <c r="K182" s="3"/>
      <c r="L182" s="3"/>
      <c r="M182" s="3"/>
      <c r="N182" s="3"/>
    </row>
    <row r="183" spans="1:14" x14ac:dyDescent="0.3">
      <c r="A183" s="169"/>
      <c r="B183" s="3"/>
      <c r="C183" s="3"/>
      <c r="D183" s="7"/>
      <c r="E183" s="7"/>
      <c r="F183" s="3"/>
      <c r="G183" s="3"/>
      <c r="H183" s="3"/>
      <c r="I183" s="3"/>
      <c r="J183" s="3"/>
      <c r="K183" s="3"/>
      <c r="L183" s="3"/>
      <c r="M183" s="3"/>
      <c r="N183" s="3"/>
    </row>
    <row r="184" spans="1:14" x14ac:dyDescent="0.3">
      <c r="A184" s="169"/>
      <c r="B184" s="3"/>
      <c r="C184" s="3"/>
      <c r="D184" s="7"/>
      <c r="E184" s="7"/>
      <c r="F184" s="3"/>
      <c r="G184" s="3"/>
      <c r="H184" s="3"/>
      <c r="I184" s="3"/>
      <c r="J184" s="3"/>
      <c r="K184" s="3"/>
      <c r="L184" s="3"/>
      <c r="M184" s="3"/>
      <c r="N184" s="3"/>
    </row>
    <row r="185" spans="1:14" x14ac:dyDescent="0.3">
      <c r="A185" s="169"/>
      <c r="B185" s="3"/>
      <c r="C185" s="3"/>
      <c r="D185" s="7"/>
      <c r="E185" s="7"/>
      <c r="F185" s="3"/>
      <c r="G185" s="3"/>
      <c r="H185" s="3"/>
      <c r="I185" s="3"/>
      <c r="J185" s="3"/>
      <c r="K185" s="3"/>
      <c r="L185" s="3"/>
      <c r="M185" s="3"/>
      <c r="N185" s="3"/>
    </row>
    <row r="186" spans="1:14" x14ac:dyDescent="0.3">
      <c r="A186" s="169"/>
      <c r="B186" s="3"/>
      <c r="C186" s="3"/>
      <c r="D186" s="7"/>
      <c r="E186" s="7"/>
      <c r="F186" s="3"/>
      <c r="G186" s="3"/>
      <c r="H186" s="3"/>
      <c r="I186" s="3"/>
      <c r="J186" s="3"/>
      <c r="K186" s="3"/>
      <c r="L186" s="3"/>
      <c r="M186" s="3"/>
      <c r="N186" s="3"/>
    </row>
    <row r="187" spans="1:14" x14ac:dyDescent="0.3">
      <c r="A187" s="169"/>
      <c r="B187" s="3"/>
      <c r="C187" s="3"/>
      <c r="D187" s="7"/>
      <c r="E187" s="7"/>
      <c r="F187" s="3"/>
      <c r="G187" s="3"/>
      <c r="H187" s="3"/>
      <c r="I187" s="3"/>
      <c r="J187" s="3"/>
      <c r="K187" s="3"/>
      <c r="L187" s="3"/>
      <c r="M187" s="3"/>
      <c r="N187" s="3"/>
    </row>
    <row r="188" spans="1:14" x14ac:dyDescent="0.3">
      <c r="A188" s="169"/>
      <c r="B188" s="3"/>
      <c r="C188" s="3"/>
      <c r="D188" s="7"/>
      <c r="E188" s="7"/>
      <c r="F188" s="3"/>
      <c r="G188" s="3"/>
      <c r="H188" s="3"/>
      <c r="I188" s="3"/>
      <c r="J188" s="3"/>
      <c r="K188" s="3"/>
      <c r="L188" s="3"/>
      <c r="M188" s="3"/>
      <c r="N188" s="3"/>
    </row>
    <row r="189" spans="1:14" x14ac:dyDescent="0.3">
      <c r="A189" s="169"/>
      <c r="B189" s="3"/>
      <c r="C189" s="3"/>
      <c r="D189" s="7"/>
      <c r="E189" s="7"/>
      <c r="F189" s="3"/>
      <c r="G189" s="3"/>
      <c r="H189" s="3"/>
      <c r="I189" s="3"/>
      <c r="J189" s="3"/>
      <c r="K189" s="3"/>
      <c r="L189" s="3"/>
      <c r="M189" s="3"/>
      <c r="N189" s="3"/>
    </row>
    <row r="190" spans="1:14" x14ac:dyDescent="0.3">
      <c r="A190" s="169"/>
      <c r="B190" s="3"/>
      <c r="C190" s="3"/>
      <c r="D190" s="7"/>
      <c r="E190" s="7"/>
      <c r="F190" s="3"/>
      <c r="G190" s="3"/>
      <c r="H190" s="3"/>
      <c r="I190" s="3"/>
      <c r="J190" s="3"/>
      <c r="K190" s="3"/>
      <c r="L190" s="3"/>
      <c r="M190" s="3"/>
      <c r="N190" s="3"/>
    </row>
    <row r="191" spans="1:14" x14ac:dyDescent="0.3">
      <c r="A191" s="169"/>
      <c r="B191" s="3"/>
      <c r="C191" s="3"/>
      <c r="D191" s="7"/>
      <c r="E191" s="7"/>
      <c r="F191" s="3"/>
      <c r="G191" s="3"/>
      <c r="H191" s="3"/>
      <c r="I191" s="3"/>
      <c r="J191" s="3"/>
      <c r="K191" s="3"/>
      <c r="L191" s="3"/>
      <c r="M191" s="3"/>
      <c r="N191" s="3"/>
    </row>
    <row r="192" spans="1:14" x14ac:dyDescent="0.3">
      <c r="A192" s="169"/>
      <c r="B192" s="3"/>
      <c r="C192" s="5" t="s">
        <v>1055</v>
      </c>
      <c r="D192" s="7"/>
      <c r="E192" s="7"/>
      <c r="F192" s="3"/>
      <c r="G192" s="3"/>
      <c r="H192" s="3"/>
      <c r="I192" s="3"/>
      <c r="J192" s="5" t="s">
        <v>1056</v>
      </c>
      <c r="K192" s="3"/>
      <c r="L192" s="3"/>
      <c r="M192" s="3"/>
      <c r="N192" s="3"/>
    </row>
    <row r="193" spans="1:23" x14ac:dyDescent="0.3">
      <c r="A193" s="169"/>
      <c r="B193" s="3"/>
      <c r="C193" s="3" t="s">
        <v>279</v>
      </c>
      <c r="D193" s="7"/>
      <c r="E193" s="7"/>
      <c r="F193" s="3"/>
      <c r="G193" s="3"/>
      <c r="H193" s="3"/>
      <c r="I193" s="3"/>
      <c r="J193" s="3" t="s">
        <v>315</v>
      </c>
      <c r="K193" s="3"/>
      <c r="L193" s="3"/>
      <c r="M193" s="3"/>
      <c r="N193" s="3"/>
    </row>
    <row r="194" spans="1:23" x14ac:dyDescent="0.3">
      <c r="A194" s="169"/>
      <c r="B194" s="3"/>
      <c r="C194" s="3" t="s">
        <v>280</v>
      </c>
      <c r="D194" s="7"/>
      <c r="E194" s="7"/>
      <c r="F194" s="3"/>
      <c r="G194" s="3"/>
      <c r="H194" s="3"/>
      <c r="I194" s="3"/>
      <c r="J194" s="3" t="s">
        <v>316</v>
      </c>
      <c r="K194" s="3"/>
      <c r="L194" s="3"/>
      <c r="M194" s="3"/>
      <c r="N194" s="3"/>
    </row>
    <row r="195" spans="1:23" x14ac:dyDescent="0.3">
      <c r="A195" s="169"/>
      <c r="B195" s="3"/>
      <c r="C195" s="3" t="s">
        <v>281</v>
      </c>
      <c r="D195" s="7"/>
      <c r="E195" s="7"/>
      <c r="F195" s="3"/>
      <c r="G195" s="3"/>
      <c r="H195" s="3"/>
      <c r="I195" s="3"/>
      <c r="J195" s="3"/>
      <c r="K195" s="3"/>
      <c r="L195" s="3"/>
      <c r="M195" s="3"/>
      <c r="N195" s="3"/>
    </row>
    <row r="199" spans="1:23" ht="21" x14ac:dyDescent="0.4">
      <c r="A199" s="241" t="s">
        <v>307</v>
      </c>
      <c r="B199" s="3"/>
      <c r="D199" s="7"/>
      <c r="E199" s="7"/>
      <c r="F199" s="3"/>
      <c r="G199" s="3"/>
      <c r="H199" s="3"/>
      <c r="I199" s="3"/>
      <c r="J199" s="3"/>
      <c r="K199" s="3"/>
      <c r="L199" s="3"/>
      <c r="M199" s="3"/>
      <c r="N199" s="3"/>
      <c r="W199" s="3"/>
    </row>
    <row r="200" spans="1:23" x14ac:dyDescent="0.3">
      <c r="A200" s="169"/>
      <c r="B200" s="3"/>
      <c r="C200" s="3"/>
      <c r="D200" s="7"/>
      <c r="E200" s="7"/>
      <c r="F200" s="3"/>
      <c r="G200" s="3"/>
      <c r="H200" s="3"/>
      <c r="I200" s="3"/>
      <c r="J200" s="3"/>
      <c r="K200" s="3"/>
      <c r="L200" s="3"/>
      <c r="M200" s="3"/>
      <c r="N200" s="3"/>
      <c r="P200" s="169"/>
      <c r="Q200" s="3"/>
      <c r="S200" s="7"/>
      <c r="T200" s="7"/>
      <c r="U200" s="3"/>
      <c r="V200" s="3"/>
      <c r="W200" s="3"/>
    </row>
    <row r="201" spans="1:23" x14ac:dyDescent="0.3">
      <c r="A201" s="169"/>
      <c r="B201" s="3"/>
      <c r="D201" s="7"/>
      <c r="E201" s="7"/>
      <c r="F201" s="3"/>
      <c r="G201" s="3"/>
      <c r="H201" s="3"/>
      <c r="I201" s="3"/>
      <c r="J201" s="3"/>
      <c r="K201" s="3"/>
      <c r="M201" s="3"/>
      <c r="N201" s="3"/>
      <c r="P201" s="169"/>
      <c r="Q201" s="3"/>
      <c r="S201" s="7"/>
      <c r="T201" s="7"/>
      <c r="U201" s="3"/>
      <c r="V201" s="3"/>
      <c r="W201" s="3"/>
    </row>
    <row r="202" spans="1:23" x14ac:dyDescent="0.3">
      <c r="A202" s="169"/>
      <c r="B202" s="3"/>
      <c r="D202" s="7"/>
      <c r="E202" s="7"/>
      <c r="F202" s="3"/>
      <c r="G202" s="3"/>
      <c r="H202" s="3"/>
      <c r="I202" s="3"/>
      <c r="J202" s="3"/>
      <c r="K202" s="3"/>
      <c r="M202" s="3"/>
      <c r="N202" s="3"/>
      <c r="P202" s="169"/>
      <c r="Q202" s="3"/>
      <c r="S202" s="7"/>
      <c r="T202" s="7"/>
      <c r="U202" s="3"/>
      <c r="V202" s="3"/>
      <c r="W202" s="3"/>
    </row>
    <row r="203" spans="1:23" x14ac:dyDescent="0.3">
      <c r="A203" s="169"/>
      <c r="B203" s="3"/>
      <c r="D203" s="7"/>
      <c r="E203" s="7"/>
      <c r="F203" s="3"/>
      <c r="G203" s="3"/>
      <c r="H203" s="3"/>
      <c r="I203" s="3"/>
      <c r="J203" s="3"/>
      <c r="K203" s="3"/>
      <c r="M203" s="3"/>
      <c r="N203" s="3"/>
      <c r="P203" s="169"/>
      <c r="Q203" s="3"/>
      <c r="S203" s="7"/>
      <c r="T203" s="7"/>
      <c r="U203" s="3"/>
      <c r="V203" s="3"/>
      <c r="W203" s="3"/>
    </row>
    <row r="204" spans="1:23" x14ac:dyDescent="0.3">
      <c r="A204" s="169"/>
      <c r="B204" s="3"/>
      <c r="D204" s="7"/>
      <c r="E204" s="7"/>
      <c r="F204" s="3"/>
      <c r="G204" s="3"/>
      <c r="H204" s="3"/>
      <c r="I204" s="3"/>
      <c r="J204" s="3"/>
      <c r="K204" s="3"/>
      <c r="M204" s="3"/>
      <c r="N204" s="3"/>
      <c r="P204" s="169"/>
      <c r="Q204" s="3"/>
      <c r="R204" s="3"/>
      <c r="S204" s="7"/>
      <c r="T204" s="7"/>
      <c r="U204" s="3"/>
      <c r="V204" s="3"/>
      <c r="W204" s="3"/>
    </row>
    <row r="205" spans="1:23" x14ac:dyDescent="0.3">
      <c r="A205" s="169"/>
      <c r="B205" s="3"/>
      <c r="D205" s="7"/>
      <c r="E205" s="7"/>
      <c r="F205" s="3"/>
      <c r="G205" s="3"/>
      <c r="H205" s="3"/>
      <c r="I205" s="3"/>
      <c r="J205" s="3"/>
      <c r="K205" s="3"/>
      <c r="L205" s="3"/>
      <c r="M205" s="3"/>
      <c r="N205" s="3"/>
      <c r="P205" s="169"/>
      <c r="Q205" s="3"/>
      <c r="R205" s="3"/>
      <c r="S205" s="7"/>
      <c r="T205" s="7"/>
      <c r="U205" s="3"/>
      <c r="V205" s="3"/>
      <c r="W205" s="3"/>
    </row>
    <row r="206" spans="1:23" x14ac:dyDescent="0.3">
      <c r="A206" s="169"/>
      <c r="B206" s="3"/>
      <c r="D206" s="7"/>
      <c r="E206" s="7"/>
      <c r="F206" s="3"/>
      <c r="G206" s="3"/>
      <c r="H206" s="3"/>
      <c r="I206" s="3"/>
      <c r="J206" s="3"/>
      <c r="K206" s="3"/>
      <c r="L206" s="3"/>
      <c r="M206" s="3"/>
      <c r="N206" s="3"/>
      <c r="P206" s="169"/>
      <c r="Q206" s="3"/>
      <c r="R206" s="3"/>
      <c r="S206" s="7"/>
      <c r="T206" s="7"/>
      <c r="U206" s="3"/>
      <c r="V206" s="3"/>
      <c r="W206" s="3"/>
    </row>
    <row r="207" spans="1:23" x14ac:dyDescent="0.3">
      <c r="A207" s="169"/>
      <c r="B207" s="3"/>
      <c r="C207" s="3"/>
      <c r="D207" s="7"/>
      <c r="E207" s="7"/>
      <c r="F207" s="3"/>
      <c r="G207" s="3"/>
      <c r="I207" s="3"/>
      <c r="J207" s="3"/>
      <c r="K207" s="3"/>
      <c r="L207" s="3"/>
      <c r="M207" s="3"/>
      <c r="N207" s="3"/>
      <c r="P207" s="169"/>
      <c r="Q207" s="3"/>
      <c r="R207" s="3"/>
      <c r="S207" s="7"/>
      <c r="T207" s="7"/>
      <c r="U207" s="3"/>
      <c r="V207" s="3"/>
      <c r="W207" s="3"/>
    </row>
    <row r="208" spans="1:23" ht="15.6" x14ac:dyDescent="0.3">
      <c r="A208" s="169"/>
      <c r="B208" s="3"/>
      <c r="C208" s="66" t="s">
        <v>289</v>
      </c>
      <c r="D208" s="7"/>
      <c r="E208" s="7"/>
      <c r="F208" s="3"/>
      <c r="G208" s="3"/>
      <c r="I208" s="66" t="s">
        <v>293</v>
      </c>
      <c r="J208" s="3"/>
      <c r="K208" s="3"/>
      <c r="L208" s="3"/>
      <c r="M208" s="3"/>
      <c r="P208" s="169"/>
      <c r="Q208" s="3"/>
      <c r="R208" s="3"/>
      <c r="S208" s="7"/>
      <c r="T208" s="7"/>
      <c r="U208" s="3"/>
      <c r="V208" s="3"/>
      <c r="W208" s="3"/>
    </row>
    <row r="209" spans="1:24" x14ac:dyDescent="0.3">
      <c r="A209" s="169"/>
      <c r="B209" s="3"/>
      <c r="C209" s="3" t="s">
        <v>305</v>
      </c>
      <c r="D209" s="7"/>
      <c r="E209" s="7"/>
      <c r="F209" s="3"/>
      <c r="G209" s="3"/>
      <c r="I209" s="3" t="s">
        <v>294</v>
      </c>
      <c r="J209" s="3"/>
      <c r="K209" s="3"/>
      <c r="L209" s="3"/>
      <c r="M209" s="3"/>
      <c r="P209" s="169"/>
      <c r="Q209" s="3"/>
      <c r="R209" s="3"/>
      <c r="S209" s="7"/>
      <c r="T209" s="7"/>
      <c r="U209" s="3"/>
      <c r="V209" s="3"/>
      <c r="W209" s="3"/>
    </row>
    <row r="210" spans="1:24" x14ac:dyDescent="0.3">
      <c r="A210" s="169"/>
      <c r="B210" s="3"/>
      <c r="C210" s="3" t="s">
        <v>306</v>
      </c>
      <c r="D210" s="7"/>
      <c r="E210" s="7"/>
      <c r="F210" s="3"/>
      <c r="G210" s="3"/>
      <c r="I210" s="3" t="s">
        <v>295</v>
      </c>
      <c r="J210" s="3"/>
      <c r="K210" s="3"/>
      <c r="L210" s="3"/>
      <c r="M210" s="3"/>
      <c r="P210" s="169"/>
      <c r="Q210" s="3"/>
      <c r="R210" s="3"/>
      <c r="S210" s="7"/>
      <c r="T210" s="7"/>
      <c r="U210" s="3"/>
      <c r="V210" s="3"/>
      <c r="W210" s="3"/>
    </row>
    <row r="211" spans="1:24" ht="15.6" x14ac:dyDescent="0.3">
      <c r="A211" s="169"/>
      <c r="B211" s="3"/>
      <c r="C211" s="3" t="s">
        <v>300</v>
      </c>
      <c r="D211" s="7"/>
      <c r="E211" s="7"/>
      <c r="F211" s="3"/>
      <c r="G211" s="3"/>
      <c r="I211" s="3" t="s">
        <v>296</v>
      </c>
      <c r="J211" s="3"/>
      <c r="K211" s="3"/>
      <c r="L211" s="3"/>
      <c r="M211" s="3"/>
      <c r="O211" s="68" t="s">
        <v>290</v>
      </c>
      <c r="P211" s="169"/>
      <c r="R211" s="3"/>
      <c r="S211" s="7"/>
      <c r="T211" s="7"/>
      <c r="U211" s="3"/>
      <c r="V211" s="3"/>
      <c r="W211" s="3"/>
      <c r="X211" s="66" t="s">
        <v>983</v>
      </c>
    </row>
    <row r="212" spans="1:24" x14ac:dyDescent="0.3">
      <c r="A212" s="169"/>
      <c r="B212" s="3"/>
      <c r="C212" s="3" t="s">
        <v>291</v>
      </c>
      <c r="D212" s="7"/>
      <c r="E212" s="7"/>
      <c r="F212" s="3"/>
      <c r="G212" s="3"/>
      <c r="I212" s="3"/>
      <c r="J212" s="3"/>
      <c r="K212" s="3"/>
      <c r="L212" s="3"/>
      <c r="M212" s="3"/>
      <c r="O212" s="3" t="s">
        <v>298</v>
      </c>
      <c r="P212" s="169"/>
      <c r="R212" s="3"/>
      <c r="S212" s="7"/>
      <c r="T212" s="7"/>
      <c r="U212" s="3"/>
      <c r="V212" s="3"/>
      <c r="W212" s="3"/>
      <c r="X212" t="s">
        <v>984</v>
      </c>
    </row>
    <row r="213" spans="1:24" x14ac:dyDescent="0.3">
      <c r="A213" s="169"/>
      <c r="B213" s="3"/>
      <c r="C213" s="3" t="s">
        <v>292</v>
      </c>
      <c r="D213" s="7"/>
      <c r="E213" s="7"/>
      <c r="F213" s="3"/>
      <c r="G213" s="3"/>
      <c r="I213" s="3"/>
      <c r="J213" s="3"/>
      <c r="K213" s="3"/>
      <c r="L213" s="3"/>
      <c r="M213" s="3"/>
      <c r="O213" s="3" t="s">
        <v>297</v>
      </c>
      <c r="P213" s="169"/>
      <c r="R213" s="3"/>
      <c r="S213" s="7"/>
      <c r="T213" s="7"/>
      <c r="U213" s="3"/>
      <c r="V213" s="3"/>
      <c r="W213" s="3"/>
      <c r="X213" t="s">
        <v>1057</v>
      </c>
    </row>
    <row r="214" spans="1:24" x14ac:dyDescent="0.3">
      <c r="A214" s="169"/>
      <c r="B214" s="3"/>
      <c r="D214" s="7"/>
      <c r="E214" s="7"/>
      <c r="F214" s="3"/>
      <c r="G214" s="3"/>
      <c r="H214" s="3"/>
      <c r="I214" s="3"/>
      <c r="J214" s="3"/>
      <c r="K214" s="3"/>
      <c r="L214" s="3"/>
      <c r="M214" s="3"/>
      <c r="O214" s="3" t="s">
        <v>299</v>
      </c>
      <c r="P214" s="169"/>
      <c r="R214" s="3"/>
      <c r="S214" s="7"/>
      <c r="T214" s="7"/>
      <c r="U214" s="3"/>
      <c r="V214" s="3"/>
      <c r="W214" s="3"/>
      <c r="X214" t="s">
        <v>1058</v>
      </c>
    </row>
    <row r="215" spans="1:24" x14ac:dyDescent="0.3">
      <c r="A215" s="169"/>
      <c r="B215" s="3"/>
      <c r="C215" s="3"/>
      <c r="D215" s="7"/>
      <c r="E215" s="7"/>
      <c r="F215" s="3"/>
      <c r="G215" s="3"/>
      <c r="H215" s="3"/>
      <c r="I215" s="3"/>
      <c r="J215" s="3"/>
      <c r="K215" s="3"/>
      <c r="L215" s="3"/>
      <c r="M215" s="3"/>
      <c r="N215" s="3"/>
      <c r="O215" s="5"/>
      <c r="P215" s="169"/>
      <c r="R215" s="3"/>
      <c r="S215" s="7"/>
      <c r="T215" s="7"/>
      <c r="U215" s="3"/>
      <c r="V215" s="3"/>
      <c r="W215" s="3"/>
    </row>
    <row r="216" spans="1:24" x14ac:dyDescent="0.3">
      <c r="A216" s="169"/>
      <c r="B216" s="3"/>
      <c r="C216" s="3"/>
      <c r="D216" s="7"/>
      <c r="E216" s="7"/>
      <c r="F216" s="3"/>
      <c r="G216" s="3"/>
      <c r="H216" s="3"/>
      <c r="I216" s="3"/>
      <c r="J216" s="3"/>
      <c r="K216" s="3"/>
      <c r="L216" s="3"/>
      <c r="M216" s="3"/>
      <c r="N216" s="3"/>
      <c r="O216" s="5"/>
      <c r="P216" s="169"/>
      <c r="Q216" s="3"/>
      <c r="R216" s="3"/>
      <c r="S216" s="7"/>
      <c r="T216" s="7"/>
      <c r="U216" s="3"/>
      <c r="V216" s="3"/>
      <c r="W216" s="3"/>
    </row>
    <row r="217" spans="1:24" x14ac:dyDescent="0.3">
      <c r="A217" s="169"/>
      <c r="B217" s="3"/>
      <c r="C217" s="3"/>
      <c r="D217" s="7"/>
      <c r="E217" s="7"/>
      <c r="F217" s="3"/>
      <c r="G217" s="3"/>
      <c r="H217" s="3"/>
      <c r="I217" s="3"/>
      <c r="J217" s="3"/>
      <c r="K217" s="3"/>
      <c r="L217" s="3"/>
      <c r="M217" s="3"/>
      <c r="N217" s="3"/>
      <c r="O217" s="5"/>
      <c r="P217" s="169"/>
      <c r="Q217" s="3"/>
      <c r="R217" s="3"/>
      <c r="S217" s="7"/>
      <c r="T217" s="7"/>
      <c r="U217" s="3"/>
      <c r="V217" s="3"/>
      <c r="W217" s="3"/>
    </row>
    <row r="218" spans="1:24" x14ac:dyDescent="0.3">
      <c r="A218" s="169"/>
      <c r="B218" s="3"/>
      <c r="C218" s="3"/>
      <c r="D218" s="7"/>
      <c r="E218" s="7"/>
      <c r="F218" s="3"/>
      <c r="G218" s="3"/>
      <c r="H218" s="3"/>
      <c r="I218" s="3"/>
      <c r="J218" s="3"/>
      <c r="K218" s="3"/>
      <c r="M218" s="3"/>
      <c r="N218" s="3"/>
      <c r="O218" s="5"/>
      <c r="P218" s="169"/>
      <c r="Q218" s="3"/>
      <c r="R218" s="5" t="s">
        <v>304</v>
      </c>
      <c r="S218" s="7"/>
      <c r="T218" s="7"/>
      <c r="U218" s="3"/>
      <c r="V218" s="3"/>
      <c r="W218" s="3"/>
    </row>
    <row r="219" spans="1:24" x14ac:dyDescent="0.3">
      <c r="A219" s="169"/>
      <c r="B219" s="3"/>
      <c r="C219" s="3"/>
      <c r="D219" s="7"/>
      <c r="E219" s="7"/>
      <c r="F219" s="3"/>
      <c r="G219" s="3"/>
      <c r="H219" s="3"/>
      <c r="I219" s="3"/>
      <c r="J219" s="3"/>
      <c r="K219" s="3"/>
      <c r="L219" s="3"/>
      <c r="M219" s="3"/>
      <c r="N219" s="3"/>
      <c r="O219" s="5"/>
      <c r="W219" s="3"/>
    </row>
    <row r="220" spans="1:24" x14ac:dyDescent="0.3">
      <c r="A220" s="169"/>
      <c r="B220" s="3"/>
      <c r="D220" s="7"/>
      <c r="E220" s="7"/>
      <c r="F220" s="3"/>
      <c r="G220" s="3"/>
      <c r="H220" s="3"/>
      <c r="I220" s="3"/>
      <c r="J220" s="3"/>
      <c r="K220" s="3"/>
      <c r="L220" s="3"/>
      <c r="M220" s="3"/>
      <c r="N220" s="3"/>
      <c r="O220" s="5"/>
      <c r="W220" s="3"/>
    </row>
    <row r="221" spans="1:24" x14ac:dyDescent="0.3">
      <c r="W221" s="3"/>
    </row>
    <row r="222" spans="1:24" x14ac:dyDescent="0.3">
      <c r="W222" s="3"/>
    </row>
    <row r="223" spans="1:24" x14ac:dyDescent="0.3">
      <c r="W223" s="3"/>
    </row>
    <row r="224" spans="1:24" x14ac:dyDescent="0.3">
      <c r="W224" s="3"/>
    </row>
    <row r="225" spans="3:24" x14ac:dyDescent="0.3">
      <c r="W225" s="3"/>
    </row>
    <row r="228" spans="3:24" x14ac:dyDescent="0.3">
      <c r="J228" s="5" t="s">
        <v>302</v>
      </c>
    </row>
    <row r="229" spans="3:24" x14ac:dyDescent="0.3">
      <c r="C229" s="5" t="s">
        <v>301</v>
      </c>
    </row>
    <row r="235" spans="3:24" x14ac:dyDescent="0.3">
      <c r="X235" s="1" t="s">
        <v>985</v>
      </c>
    </row>
    <row r="244" spans="1:10" x14ac:dyDescent="0.3">
      <c r="J244" s="1" t="s">
        <v>303</v>
      </c>
    </row>
    <row r="248" spans="1:10" ht="18" x14ac:dyDescent="0.35">
      <c r="A248" s="67" t="s">
        <v>1075</v>
      </c>
      <c r="I248" s="67" t="s">
        <v>1081</v>
      </c>
    </row>
    <row r="269" spans="10:10" x14ac:dyDescent="0.3">
      <c r="J269" t="s">
        <v>1082</v>
      </c>
    </row>
    <row r="270" spans="10:10" x14ac:dyDescent="0.3">
      <c r="J270" t="s">
        <v>1083</v>
      </c>
    </row>
    <row r="277" spans="2:2" x14ac:dyDescent="0.3">
      <c r="B277" s="1" t="s">
        <v>1076</v>
      </c>
    </row>
    <row r="278" spans="2:2" x14ac:dyDescent="0.3">
      <c r="B278" s="1" t="s">
        <v>1077</v>
      </c>
    </row>
    <row r="279" spans="2:2" x14ac:dyDescent="0.3">
      <c r="B279" s="1" t="s">
        <v>1078</v>
      </c>
    </row>
    <row r="280" spans="2:2" x14ac:dyDescent="0.3">
      <c r="B280" s="1" t="s">
        <v>1079</v>
      </c>
    </row>
    <row r="281" spans="2:2" x14ac:dyDescent="0.3">
      <c r="B281" s="1" t="s">
        <v>1080</v>
      </c>
    </row>
    <row r="282" spans="2:2" x14ac:dyDescent="0.3">
      <c r="B282" s="1" t="s">
        <v>1210</v>
      </c>
    </row>
  </sheetData>
  <sheetProtection algorithmName="SHA-512" hashValue="v+XnKRT+glrPegjmgAORC4lcI+lfSyZ3ooJoeN3gK+qlMBMgHH4B8RYtJdyXb9N1vhBzV40OXXMiuFKPLt7rzQ==" saltValue="h6fDYapjuCiC0fn+VRPeGA==" spinCount="100000" sheet="1" objects="1" scenarios="1"/>
  <mergeCells count="2">
    <mergeCell ref="B97:I102"/>
    <mergeCell ref="L96:S97"/>
  </mergeCells>
  <conditionalFormatting sqref="B27">
    <cfRule type="expression" dxfId="3" priority="4">
      <formula>$AZ$16=1</formula>
    </cfRule>
  </conditionalFormatting>
  <conditionalFormatting sqref="B27">
    <cfRule type="expression" dxfId="2" priority="3">
      <formula>$BD$16=1</formula>
    </cfRule>
  </conditionalFormatting>
  <conditionalFormatting sqref="F27">
    <cfRule type="expression" dxfId="1" priority="2">
      <formula>$AZ$16=1</formula>
    </cfRule>
  </conditionalFormatting>
  <conditionalFormatting sqref="F27">
    <cfRule type="expression" dxfId="0" priority="1">
      <formula>$BD$16=1</formula>
    </cfRule>
  </conditionalFormatting>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Getting Started</vt:lpstr>
      <vt:lpstr>Classic Maple</vt:lpstr>
      <vt:lpstr>Metal Snares</vt:lpstr>
      <vt:lpstr>Legacy</vt:lpstr>
      <vt:lpstr>Gallery</vt:lpstr>
      <vt:lpstr>'Classic Maple'!Print_Area</vt:lpstr>
      <vt:lpstr>'Getting Started'!Print_Area</vt:lpstr>
      <vt:lpstr>Legacy!Print_Area</vt:lpstr>
      <vt:lpstr>'Metal Snares'!Print_Area</vt:lpstr>
    </vt:vector>
  </TitlesOfParts>
  <Company>Conn-Selmer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gdevore</dc:creator>
  <cp:lastModifiedBy>Devore, Gary</cp:lastModifiedBy>
  <cp:lastPrinted>2016-05-04T14:07:56Z</cp:lastPrinted>
  <dcterms:created xsi:type="dcterms:W3CDTF">2012-06-22T12:22:15Z</dcterms:created>
  <dcterms:modified xsi:type="dcterms:W3CDTF">2016-06-29T21:07:45Z</dcterms:modified>
</cp:coreProperties>
</file>